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0" windowWidth="6345" windowHeight="6480" activeTab="0"/>
  </bookViews>
  <sheets>
    <sheet name="Results" sheetId="1" r:id="rId1"/>
    <sheet name="Club Trophy" sheetId="2" r:id="rId2"/>
  </sheets>
  <definedNames>
    <definedName name="_xlnm.Print_Area" localSheetId="0">'Results'!$A$1:$T$50</definedName>
  </definedNames>
  <calcPr fullCalcOnLoad="1"/>
</workbook>
</file>

<file path=xl/sharedStrings.xml><?xml version="1.0" encoding="utf-8"?>
<sst xmlns="http://schemas.openxmlformats.org/spreadsheetml/2006/main" count="294" uniqueCount="87">
  <si>
    <t>Athletics Waverley - Dulux Cross Country Points</t>
  </si>
  <si>
    <t>Brimbank CC Relays</t>
  </si>
  <si>
    <t>Ballarat Road 10K</t>
  </si>
  <si>
    <t>Bundoora CC 12K/8K</t>
  </si>
  <si>
    <t>A. Park Road 15K</t>
  </si>
  <si>
    <t>Sandown Road Relays</t>
  </si>
  <si>
    <t>Bendigo Coliban Road Relay</t>
  </si>
  <si>
    <t>Brimbank CC 16K</t>
  </si>
  <si>
    <t>Burnley    1/2 Mara</t>
  </si>
  <si>
    <t>No. Races out of 9</t>
  </si>
  <si>
    <t>Bundoora CC    12K/8K</t>
  </si>
  <si>
    <t>A. Park Road 15K/10K</t>
  </si>
  <si>
    <t>Bendigo Coliban Relay</t>
  </si>
  <si>
    <t>Brimbank CC 16K/4K</t>
  </si>
  <si>
    <t>Total</t>
  </si>
  <si>
    <t>Time</t>
  </si>
  <si>
    <t>Place</t>
  </si>
  <si>
    <t>Distance</t>
  </si>
  <si>
    <t>Men</t>
  </si>
  <si>
    <t>James Atkinson</t>
  </si>
  <si>
    <t>Mal Grimmett</t>
  </si>
  <si>
    <t>Ian Franzke</t>
  </si>
  <si>
    <t>Christopher Knott</t>
  </si>
  <si>
    <t>John Nolan</t>
  </si>
  <si>
    <t>Andrew Moore</t>
  </si>
  <si>
    <t>Robbie Scholes</t>
  </si>
  <si>
    <t>Shaun Calamatta</t>
  </si>
  <si>
    <t>Andrew Charlesworth</t>
  </si>
  <si>
    <t>Nigel Aylott</t>
  </si>
  <si>
    <t>No. Waverley Runners</t>
  </si>
  <si>
    <t>Total Field</t>
  </si>
  <si>
    <t>Bundoora CC 6K</t>
  </si>
  <si>
    <t>Ballarat CC                          6K</t>
  </si>
  <si>
    <t>Brimbank CC 4K</t>
  </si>
  <si>
    <t>Women</t>
  </si>
  <si>
    <t>Alison Correll</t>
  </si>
  <si>
    <t>Zsanelle McGrath</t>
  </si>
  <si>
    <t>Caitlin Harrison</t>
  </si>
  <si>
    <t>F. Bend Road 15K/10K</t>
  </si>
  <si>
    <t>David Ward    1/2 Mara</t>
  </si>
  <si>
    <t>Lowest</t>
  </si>
  <si>
    <t>TEAM RESULTS</t>
  </si>
  <si>
    <t>Points</t>
  </si>
  <si>
    <t>Division 2</t>
  </si>
  <si>
    <t>Best 8 of 9</t>
  </si>
  <si>
    <t/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</si>
  <si>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</si>
  <si>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</si>
  <si>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</si>
  <si>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</si>
  <si>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</si>
  <si>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</si>
  <si>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</si>
  <si>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</si>
  <si>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>The Coliban relay is allocated the average of your best 3 other races.</t>
  </si>
  <si>
    <t>You are allowed to drop your worst race, ie. the best 8 out of 9 count towards this prestigious award.</t>
  </si>
  <si>
    <t>James McEniry</t>
  </si>
  <si>
    <t>Clyde Riddoch</t>
  </si>
  <si>
    <t>Kate McGregor</t>
  </si>
  <si>
    <t>Flemington Road 10K</t>
  </si>
  <si>
    <t>6.2K</t>
  </si>
  <si>
    <t>Mike Harvey</t>
  </si>
  <si>
    <t>Darren McGee</t>
  </si>
  <si>
    <t>John Nolan (2)</t>
  </si>
  <si>
    <t>The Atkinson Club Trophy Formula</t>
  </si>
  <si>
    <t>Athletics Waverley - 2000 Winter Season Results</t>
  </si>
  <si>
    <t>15.4.00</t>
  </si>
  <si>
    <t>Chris McQuie</t>
  </si>
  <si>
    <t>Division 3</t>
  </si>
  <si>
    <t>Division 6</t>
  </si>
  <si>
    <t>6.5.00</t>
  </si>
  <si>
    <t>20.5.00</t>
  </si>
  <si>
    <t>Geelong CC                          8K/6K</t>
  </si>
  <si>
    <t>3.6.00</t>
  </si>
  <si>
    <t>22.7.00</t>
  </si>
  <si>
    <t>10.9.00</t>
  </si>
  <si>
    <t xml:space="preserve">The formula provides a pretty fair comparative score for athletes of both sexes and in various age groups. </t>
  </si>
  <si>
    <t>If you win you will score 100. If you run midfield you will score 50. If you finish last you will score 100 / field size.</t>
  </si>
  <si>
    <t>7.9K</t>
  </si>
  <si>
    <t>Overall 2000</t>
  </si>
  <si>
    <t>8.7.00</t>
  </si>
  <si>
    <t>DNF</t>
  </si>
  <si>
    <t>26.8.00</t>
  </si>
  <si>
    <t>24.9.00</t>
  </si>
  <si>
    <t>Athletics Waverley - 2000 Cross Country Points</t>
  </si>
  <si>
    <t>7.5K</t>
  </si>
  <si>
    <t>7.4K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</si>
</sst>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14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Continuous"/>
    </xf>
    <xf numFmtId="2" fontId="11" fillId="0" borderId="14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right" wrapText="1"/>
    </xf>
    <xf numFmtId="173" fontId="0" fillId="0" borderId="14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2" fontId="0" fillId="0" borderId="0" xfId="0" applyNumberForma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4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74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74" fontId="0" fillId="0" borderId="32" xfId="0" applyNumberFormat="1" applyBorder="1" applyAlignment="1">
      <alignment horizontal="right"/>
    </xf>
    <xf numFmtId="1" fontId="0" fillId="0" borderId="32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4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20" sqref="A20"/>
      <selection pane="topRight" activeCell="A7" sqref="A7:T21"/>
    </sheetView>
  </sheetViews>
  <sheetFormatPr defaultColWidth="9.140625" defaultRowHeight="12.75"/>
  <cols>
    <col min="1" max="1" width="20.00390625" style="0" customWidth="1"/>
    <col min="2" max="2" width="9.8515625" style="5" customWidth="1"/>
    <col min="3" max="3" width="9.8515625" style="4" customWidth="1"/>
    <col min="4" max="4" width="9.28125" style="8" customWidth="1"/>
    <col min="5" max="5" width="9.140625" style="56" customWidth="1"/>
    <col min="6" max="6" width="10.7109375" style="5" customWidth="1"/>
    <col min="7" max="7" width="9.140625" style="56" customWidth="1"/>
    <col min="8" max="8" width="10.28125" style="8" customWidth="1"/>
    <col min="9" max="9" width="9.140625" style="56" customWidth="1"/>
    <col min="10" max="10" width="10.421875" style="8" customWidth="1"/>
    <col min="11" max="11" width="9.140625" style="56" customWidth="1"/>
    <col min="12" max="13" width="10.140625" style="56" customWidth="1"/>
    <col min="14" max="14" width="9.8515625" style="8" customWidth="1"/>
    <col min="15" max="15" width="9.140625" style="56" customWidth="1"/>
    <col min="16" max="16" width="9.8515625" style="8" customWidth="1"/>
    <col min="17" max="17" width="9.140625" style="56" customWidth="1"/>
    <col min="18" max="18" width="9.140625" style="8" customWidth="1"/>
    <col min="19" max="19" width="9.140625" style="56" customWidth="1"/>
    <col min="20" max="20" width="12.57421875" style="11" customWidth="1"/>
    <col min="21" max="27" width="9.140625" style="11" customWidth="1"/>
    <col min="29" max="29" width="20.421875" style="0" customWidth="1"/>
    <col min="30" max="30" width="10.140625" style="0" customWidth="1"/>
    <col min="33" max="33" width="10.140625" style="0" customWidth="1"/>
    <col min="35" max="35" width="10.140625" style="0" customWidth="1"/>
    <col min="36" max="36" width="10.140625" style="3" customWidth="1"/>
    <col min="37" max="37" width="10.140625" style="0" customWidth="1"/>
    <col min="40" max="40" width="12.57421875" style="0" customWidth="1"/>
    <col min="41" max="41" width="6.8515625" style="0" customWidth="1"/>
    <col min="42" max="42" width="18.28125" style="0" customWidth="1"/>
    <col min="43" max="43" width="9.8515625" style="0" customWidth="1"/>
    <col min="45" max="45" width="10.28125" style="0" customWidth="1"/>
    <col min="47" max="47" width="9.57421875" style="0" customWidth="1"/>
    <col min="48" max="48" width="10.28125" style="0" customWidth="1"/>
    <col min="49" max="49" width="10.00390625" style="0" customWidth="1"/>
    <col min="52" max="52" width="11.28125" style="0" customWidth="1"/>
  </cols>
  <sheetData>
    <row r="1" spans="1:32" ht="37.5">
      <c r="A1" s="99" t="s">
        <v>65</v>
      </c>
      <c r="AB1" s="11"/>
      <c r="AC1" s="82" t="s">
        <v>0</v>
      </c>
      <c r="AD1" s="3"/>
      <c r="AF1" s="3"/>
    </row>
    <row r="2" spans="28:32" ht="21" customHeight="1">
      <c r="AB2" s="11"/>
      <c r="AD2" s="3"/>
      <c r="AF2" s="3"/>
    </row>
    <row r="3" spans="1:54" s="2" customFormat="1" ht="39.75" customHeight="1">
      <c r="A3" s="47"/>
      <c r="B3" s="49" t="s">
        <v>1</v>
      </c>
      <c r="C3" s="50"/>
      <c r="D3" s="49" t="s">
        <v>72</v>
      </c>
      <c r="E3" s="50"/>
      <c r="F3" s="49" t="s">
        <v>59</v>
      </c>
      <c r="G3" s="50"/>
      <c r="H3" s="49" t="s">
        <v>7</v>
      </c>
      <c r="I3" s="90"/>
      <c r="J3" s="49" t="s">
        <v>3</v>
      </c>
      <c r="K3" s="50"/>
      <c r="L3" s="49" t="s">
        <v>5</v>
      </c>
      <c r="M3" s="90"/>
      <c r="N3" s="80" t="s">
        <v>6</v>
      </c>
      <c r="O3" s="90"/>
      <c r="P3" s="49" t="s">
        <v>4</v>
      </c>
      <c r="Q3" s="90"/>
      <c r="R3" s="51" t="s">
        <v>8</v>
      </c>
      <c r="S3" s="50"/>
      <c r="T3" s="68" t="s">
        <v>9</v>
      </c>
      <c r="U3" s="57"/>
      <c r="V3" s="57"/>
      <c r="W3" s="57"/>
      <c r="X3" s="57"/>
      <c r="Y3" s="57"/>
      <c r="Z3" s="57"/>
      <c r="AA3" s="57"/>
      <c r="AB3" s="83"/>
      <c r="AC3" s="47">
        <v>1999</v>
      </c>
      <c r="AD3" s="49" t="str">
        <f>B3</f>
        <v>Brimbank CC Relays</v>
      </c>
      <c r="AE3" s="49" t="str">
        <f>D3</f>
        <v>Geelong CC                          8K/6K</v>
      </c>
      <c r="AF3" s="49" t="str">
        <f>F3</f>
        <v>Flemington Road 10K</v>
      </c>
      <c r="AG3" s="49" t="s">
        <v>13</v>
      </c>
      <c r="AH3" s="80" t="s">
        <v>10</v>
      </c>
      <c r="AI3" s="49" t="s">
        <v>5</v>
      </c>
      <c r="AJ3" s="80" t="s">
        <v>12</v>
      </c>
      <c r="AK3" s="49" t="s">
        <v>11</v>
      </c>
      <c r="AL3" s="7" t="s">
        <v>8</v>
      </c>
      <c r="AM3" s="7" t="s">
        <v>14</v>
      </c>
      <c r="AO3"/>
      <c r="AP3" s="2" t="s">
        <v>40</v>
      </c>
      <c r="AQ3"/>
      <c r="AR3"/>
      <c r="AS3"/>
      <c r="AT3"/>
      <c r="AU3"/>
      <c r="AV3"/>
      <c r="AW3"/>
      <c r="AX3"/>
      <c r="AY3"/>
      <c r="AZ3"/>
      <c r="BB3"/>
    </row>
    <row r="4" spans="1:54" s="4" customFormat="1" ht="12.75">
      <c r="A4" s="18"/>
      <c r="B4" s="8" t="s">
        <v>66</v>
      </c>
      <c r="C4" s="9"/>
      <c r="D4" s="8" t="s">
        <v>70</v>
      </c>
      <c r="E4" s="9"/>
      <c r="F4" s="8" t="s">
        <v>71</v>
      </c>
      <c r="G4" s="9"/>
      <c r="H4" s="8" t="s">
        <v>73</v>
      </c>
      <c r="I4" s="9"/>
      <c r="J4" s="8" t="s">
        <v>80</v>
      </c>
      <c r="K4" s="9"/>
      <c r="L4" s="8" t="s">
        <v>74</v>
      </c>
      <c r="M4" s="9"/>
      <c r="N4" s="8" t="s">
        <v>82</v>
      </c>
      <c r="O4" s="9"/>
      <c r="P4" s="8" t="s">
        <v>75</v>
      </c>
      <c r="Q4" s="9"/>
      <c r="R4" s="8" t="s">
        <v>83</v>
      </c>
      <c r="S4" s="9"/>
      <c r="T4" s="69"/>
      <c r="U4" s="56"/>
      <c r="V4" s="56"/>
      <c r="W4" s="56"/>
      <c r="X4" s="56"/>
      <c r="Y4" s="56"/>
      <c r="Z4" s="56"/>
      <c r="AA4" s="56"/>
      <c r="AB4" s="9"/>
      <c r="AC4" s="18"/>
      <c r="AD4" s="8" t="str">
        <f>B4</f>
        <v>15.4.00</v>
      </c>
      <c r="AE4" s="8" t="str">
        <f>D4</f>
        <v>6.5.00</v>
      </c>
      <c r="AF4" s="8" t="str">
        <f>F4</f>
        <v>20.5.00</v>
      </c>
      <c r="AG4" s="8" t="str">
        <f>H4</f>
        <v>3.6.00</v>
      </c>
      <c r="AH4" s="8" t="str">
        <f>J4</f>
        <v>8.7.00</v>
      </c>
      <c r="AI4" s="8" t="str">
        <f>L4</f>
        <v>22.7.00</v>
      </c>
      <c r="AJ4" s="8" t="str">
        <f>N4</f>
        <v>26.8.00</v>
      </c>
      <c r="AK4" s="8" t="str">
        <f>P4</f>
        <v>10.9.00</v>
      </c>
      <c r="AL4" s="96" t="str">
        <f>R4</f>
        <v>24.9.00</v>
      </c>
      <c r="AM4" s="9"/>
      <c r="AO4"/>
      <c r="AQ4"/>
      <c r="AR4"/>
      <c r="AS4"/>
      <c r="AT4"/>
      <c r="AU4"/>
      <c r="AV4"/>
      <c r="AW4"/>
      <c r="AX4"/>
      <c r="AY4"/>
      <c r="AZ4"/>
      <c r="BB4"/>
    </row>
    <row r="5" spans="1:54" s="4" customFormat="1" ht="12.75">
      <c r="A5" s="37"/>
      <c r="B5" s="34" t="s">
        <v>15</v>
      </c>
      <c r="C5" s="38" t="s">
        <v>16</v>
      </c>
      <c r="D5" s="34" t="s">
        <v>15</v>
      </c>
      <c r="E5" s="38" t="s">
        <v>16</v>
      </c>
      <c r="F5" s="34" t="s">
        <v>15</v>
      </c>
      <c r="G5" s="38" t="s">
        <v>16</v>
      </c>
      <c r="H5" s="34" t="s">
        <v>15</v>
      </c>
      <c r="I5" s="38" t="s">
        <v>16</v>
      </c>
      <c r="J5" s="34" t="s">
        <v>15</v>
      </c>
      <c r="K5" s="38" t="s">
        <v>16</v>
      </c>
      <c r="L5" s="34" t="s">
        <v>15</v>
      </c>
      <c r="M5" s="38" t="s">
        <v>16</v>
      </c>
      <c r="N5" s="34" t="s">
        <v>15</v>
      </c>
      <c r="O5" s="38" t="s">
        <v>17</v>
      </c>
      <c r="P5" s="34" t="s">
        <v>15</v>
      </c>
      <c r="Q5" s="38" t="s">
        <v>16</v>
      </c>
      <c r="R5" s="34" t="s">
        <v>15</v>
      </c>
      <c r="S5" s="38" t="s">
        <v>16</v>
      </c>
      <c r="T5" s="70"/>
      <c r="U5" s="56"/>
      <c r="V5" s="56"/>
      <c r="W5" s="56"/>
      <c r="X5" s="56"/>
      <c r="Y5" s="56"/>
      <c r="Z5" s="56"/>
      <c r="AA5" s="56"/>
      <c r="AB5" s="9"/>
      <c r="AC5" s="18"/>
      <c r="AD5" s="8"/>
      <c r="AE5" s="8"/>
      <c r="AF5" s="8"/>
      <c r="AG5" s="8"/>
      <c r="AH5" s="8"/>
      <c r="AI5" s="8"/>
      <c r="AJ5" s="8"/>
      <c r="AK5" s="8"/>
      <c r="AL5" s="9"/>
      <c r="AM5" s="9"/>
      <c r="AO5"/>
      <c r="AQ5"/>
      <c r="AR5"/>
      <c r="AS5"/>
      <c r="AT5"/>
      <c r="AU5"/>
      <c r="AV5"/>
      <c r="AW5"/>
      <c r="AX5"/>
      <c r="AY5"/>
      <c r="AZ5"/>
      <c r="BB5"/>
    </row>
    <row r="6" spans="1:39" ht="12.75">
      <c r="A6" s="19" t="s">
        <v>18</v>
      </c>
      <c r="B6" s="34"/>
      <c r="C6" s="38"/>
      <c r="D6" s="34"/>
      <c r="E6" s="38"/>
      <c r="F6" s="34"/>
      <c r="G6" s="38"/>
      <c r="H6" s="34"/>
      <c r="I6" s="38"/>
      <c r="J6" s="34"/>
      <c r="K6" s="38"/>
      <c r="L6" s="34"/>
      <c r="M6" s="38"/>
      <c r="N6" s="34"/>
      <c r="O6" s="38"/>
      <c r="P6" s="34"/>
      <c r="Q6" s="38"/>
      <c r="R6" s="91"/>
      <c r="S6" s="92"/>
      <c r="T6" s="70"/>
      <c r="AB6" s="12"/>
      <c r="AC6" s="19"/>
      <c r="AD6" s="16"/>
      <c r="AE6" s="16"/>
      <c r="AF6" s="16"/>
      <c r="AG6" s="16"/>
      <c r="AH6" s="16"/>
      <c r="AI6" s="16"/>
      <c r="AJ6" s="16"/>
      <c r="AK6" s="16"/>
      <c r="AL6" s="17"/>
      <c r="AM6" s="17"/>
    </row>
    <row r="7" spans="1:42" ht="12.75">
      <c r="A7" s="100" t="s">
        <v>19</v>
      </c>
      <c r="B7" s="101">
        <v>20.32</v>
      </c>
      <c r="C7" s="102">
        <v>36</v>
      </c>
      <c r="D7" s="101"/>
      <c r="E7" s="102"/>
      <c r="F7" s="101"/>
      <c r="G7" s="102"/>
      <c r="H7" s="101"/>
      <c r="I7" s="102"/>
      <c r="J7" s="101">
        <v>41.54</v>
      </c>
      <c r="K7" s="102">
        <v>54</v>
      </c>
      <c r="L7" s="101">
        <v>20.33</v>
      </c>
      <c r="M7" s="102">
        <v>54</v>
      </c>
      <c r="N7" s="101">
        <v>23.34</v>
      </c>
      <c r="O7" s="103" t="s">
        <v>85</v>
      </c>
      <c r="P7" s="101">
        <v>48.19</v>
      </c>
      <c r="Q7" s="102">
        <v>14</v>
      </c>
      <c r="R7" s="101"/>
      <c r="S7" s="102"/>
      <c r="T7" s="104">
        <f aca="true" t="shared" si="0" ref="T7:T21">COUNT(B7:S7)/2</f>
        <v>4.5</v>
      </c>
      <c r="AB7" s="12"/>
      <c r="AC7" s="20" t="str">
        <f aca="true" t="shared" si="1" ref="AC7:AC21">A7</f>
        <v>James Atkinson</v>
      </c>
      <c r="AD7" s="10">
        <f aca="true" t="shared" si="2" ref="AD7:AD21">IF(ISBLANK(C7),"",ROUND((C$24-C7+1)/C$24*100,2))</f>
        <v>90.06</v>
      </c>
      <c r="AE7" s="10">
        <f aca="true" t="shared" si="3" ref="AE7:AE14">IF(ISBLANK(E7),"",ROUND((E$24-E7+1)/E$24*100,2))</f>
      </c>
      <c r="AF7" s="10">
        <f aca="true" t="shared" si="4" ref="AF7:AF15">IF(ISBLANK(G7),"",ROUND((G$24-G7+1)/G$24*100,2))</f>
      </c>
      <c r="AG7" s="10">
        <f aca="true" t="shared" si="5" ref="AG7:AG21">IF(ISBLANK(I7),"",ROUND((I$24-I7+1)/I$24*100,2))</f>
      </c>
      <c r="AH7" s="10">
        <f aca="true" t="shared" si="6" ref="AH7:AH14">IF(ISBLANK(K7),"",ROUND((K$24-K7+1)/K$24*100,2))</f>
        <v>80.87</v>
      </c>
      <c r="AI7" s="10">
        <f aca="true" t="shared" si="7" ref="AI7:AI15">IF(ISBLANK(M7),"",ROUND((M$24-M7+1)/M$24*100,2))</f>
        <v>86.68</v>
      </c>
      <c r="AJ7" s="3">
        <f>AVERAGE(AD7,AK7,AI7)</f>
        <v>90.26666666666667</v>
      </c>
      <c r="AK7" s="10">
        <f aca="true" t="shared" si="8" ref="AK7:AK14">IF(ISBLANK(Q7),"",ROUND((Q$24-Q7+1)/Q$24*100,2))</f>
        <v>94.06</v>
      </c>
      <c r="AL7" s="27">
        <f aca="true" t="shared" si="9" ref="AL7:AL21">IF(ISBLANK(S7),"",ROUND((S$24-S7+1)/S$24*100,2))</f>
      </c>
      <c r="AM7" s="27">
        <f aca="true" t="shared" si="10" ref="AM7:AM21">SUM(AD7:AJ7)</f>
        <v>347.87666666666667</v>
      </c>
      <c r="AP7" t="e">
        <f>LARGE('Club Trophy'!C7:K7,9)</f>
        <v>#NUM!</v>
      </c>
    </row>
    <row r="8" spans="1:42" ht="12.75">
      <c r="A8" s="105" t="s">
        <v>20</v>
      </c>
      <c r="B8" s="106">
        <v>21.16</v>
      </c>
      <c r="C8" s="107">
        <v>64</v>
      </c>
      <c r="D8" s="106"/>
      <c r="E8" s="107"/>
      <c r="F8" s="106"/>
      <c r="G8" s="107"/>
      <c r="H8" s="106"/>
      <c r="I8" s="107"/>
      <c r="J8" s="106">
        <v>43.53</v>
      </c>
      <c r="K8" s="107">
        <v>78</v>
      </c>
      <c r="L8" s="106">
        <v>21.2</v>
      </c>
      <c r="M8" s="107">
        <v>88</v>
      </c>
      <c r="N8" s="106"/>
      <c r="O8" s="108"/>
      <c r="P8" s="106">
        <v>52.45</v>
      </c>
      <c r="Q8" s="107">
        <v>55</v>
      </c>
      <c r="R8" s="106"/>
      <c r="S8" s="107"/>
      <c r="T8" s="109">
        <f t="shared" si="0"/>
        <v>4</v>
      </c>
      <c r="AB8" s="12"/>
      <c r="AC8" s="20" t="str">
        <f t="shared" si="1"/>
        <v>Mal Grimmett</v>
      </c>
      <c r="AD8" s="10">
        <f t="shared" si="2"/>
        <v>82.1</v>
      </c>
      <c r="AE8" s="10">
        <f t="shared" si="3"/>
      </c>
      <c r="AF8" s="10">
        <f t="shared" si="4"/>
      </c>
      <c r="AG8" s="10">
        <f t="shared" si="5"/>
      </c>
      <c r="AH8" s="10">
        <f t="shared" si="6"/>
        <v>72.2</v>
      </c>
      <c r="AI8" s="10">
        <f t="shared" si="7"/>
        <v>78.14</v>
      </c>
      <c r="AK8" s="10">
        <f t="shared" si="8"/>
        <v>75.34</v>
      </c>
      <c r="AL8" s="27">
        <f t="shared" si="9"/>
      </c>
      <c r="AM8" s="27">
        <f t="shared" si="10"/>
        <v>232.44</v>
      </c>
      <c r="AP8" t="e">
        <f>LARGE('Club Trophy'!C8:K8,9)</f>
        <v>#NUM!</v>
      </c>
    </row>
    <row r="9" spans="1:42" ht="12.75">
      <c r="A9" s="105" t="s">
        <v>21</v>
      </c>
      <c r="B9" s="106">
        <v>21.52</v>
      </c>
      <c r="C9" s="107">
        <v>83</v>
      </c>
      <c r="D9" s="106">
        <v>26.54</v>
      </c>
      <c r="E9" s="107">
        <v>38</v>
      </c>
      <c r="F9" s="106"/>
      <c r="G9" s="107"/>
      <c r="H9" s="106"/>
      <c r="I9" s="107"/>
      <c r="J9" s="106"/>
      <c r="K9" s="107"/>
      <c r="L9" s="106"/>
      <c r="M9" s="107"/>
      <c r="N9" s="106"/>
      <c r="O9" s="108"/>
      <c r="P9" s="106"/>
      <c r="Q9" s="107"/>
      <c r="R9" s="106"/>
      <c r="S9" s="107"/>
      <c r="T9" s="109">
        <f t="shared" si="0"/>
        <v>2</v>
      </c>
      <c r="AB9" s="12"/>
      <c r="AC9" s="20" t="str">
        <f t="shared" si="1"/>
        <v>Ian Franzke</v>
      </c>
      <c r="AD9" s="10">
        <f t="shared" si="2"/>
        <v>76.7</v>
      </c>
      <c r="AE9" s="10">
        <f t="shared" si="3"/>
        <v>88.65</v>
      </c>
      <c r="AF9" s="10">
        <f t="shared" si="4"/>
      </c>
      <c r="AG9" s="10">
        <f t="shared" si="5"/>
      </c>
      <c r="AH9" s="10">
        <f t="shared" si="6"/>
      </c>
      <c r="AI9" s="10">
        <f t="shared" si="7"/>
      </c>
      <c r="AK9" s="10">
        <f t="shared" si="8"/>
      </c>
      <c r="AL9" s="27">
        <f t="shared" si="9"/>
      </c>
      <c r="AM9" s="27">
        <f t="shared" si="10"/>
        <v>165.35000000000002</v>
      </c>
      <c r="AP9" t="e">
        <f>LARGE('Club Trophy'!C9:K9,9)</f>
        <v>#NUM!</v>
      </c>
    </row>
    <row r="10" spans="1:42" ht="12.75">
      <c r="A10" s="105" t="s">
        <v>56</v>
      </c>
      <c r="B10" s="106">
        <v>22.08</v>
      </c>
      <c r="C10" s="107">
        <v>94</v>
      </c>
      <c r="D10" s="106"/>
      <c r="E10" s="107"/>
      <c r="F10" s="106" t="s">
        <v>81</v>
      </c>
      <c r="G10" s="107"/>
      <c r="H10" s="106">
        <v>64.39</v>
      </c>
      <c r="I10" s="107">
        <v>92</v>
      </c>
      <c r="J10" s="106">
        <v>42.4</v>
      </c>
      <c r="K10" s="107">
        <v>64</v>
      </c>
      <c r="L10" s="106"/>
      <c r="M10" s="107"/>
      <c r="N10" s="106"/>
      <c r="O10" s="108"/>
      <c r="P10" s="106"/>
      <c r="Q10" s="107"/>
      <c r="R10" s="106"/>
      <c r="S10" s="107"/>
      <c r="T10" s="109">
        <f t="shared" si="0"/>
        <v>3</v>
      </c>
      <c r="AB10" s="12"/>
      <c r="AC10" s="20" t="str">
        <f t="shared" si="1"/>
        <v>James McEniry</v>
      </c>
      <c r="AD10" s="10">
        <f t="shared" si="2"/>
        <v>73.58</v>
      </c>
      <c r="AE10" s="10">
        <f t="shared" si="3"/>
      </c>
      <c r="AF10" s="10">
        <f t="shared" si="4"/>
      </c>
      <c r="AG10" s="10">
        <f t="shared" si="5"/>
        <v>62.7</v>
      </c>
      <c r="AH10" s="10">
        <f t="shared" si="6"/>
        <v>77.26</v>
      </c>
      <c r="AI10" s="10">
        <f t="shared" si="7"/>
      </c>
      <c r="AK10" s="10">
        <f t="shared" si="8"/>
      </c>
      <c r="AL10" s="27">
        <f t="shared" si="9"/>
      </c>
      <c r="AM10" s="27">
        <f t="shared" si="10"/>
        <v>213.54000000000002</v>
      </c>
      <c r="AP10" t="e">
        <f>LARGE('Club Trophy'!C10:K10,9)</f>
        <v>#NUM!</v>
      </c>
    </row>
    <row r="11" spans="1:42" ht="12.75">
      <c r="A11" s="105" t="s">
        <v>67</v>
      </c>
      <c r="B11" s="106">
        <v>25.25</v>
      </c>
      <c r="C11" s="107">
        <v>236</v>
      </c>
      <c r="D11" s="106">
        <v>30.49</v>
      </c>
      <c r="E11" s="107">
        <v>139</v>
      </c>
      <c r="F11" s="106"/>
      <c r="G11" s="107"/>
      <c r="H11" s="106"/>
      <c r="I11" s="107"/>
      <c r="J11" s="106"/>
      <c r="K11" s="107"/>
      <c r="L11" s="106">
        <v>23.22</v>
      </c>
      <c r="M11" s="107">
        <v>228</v>
      </c>
      <c r="N11" s="106">
        <v>28.36</v>
      </c>
      <c r="O11" s="108" t="s">
        <v>86</v>
      </c>
      <c r="P11" s="106"/>
      <c r="Q11" s="107"/>
      <c r="R11" s="106"/>
      <c r="S11" s="107"/>
      <c r="T11" s="109">
        <f t="shared" si="0"/>
        <v>3.5</v>
      </c>
      <c r="AB11" s="12"/>
      <c r="AC11" s="20" t="str">
        <f t="shared" si="1"/>
        <v>Chris McQuie</v>
      </c>
      <c r="AD11" s="10">
        <f t="shared" si="2"/>
        <v>33.24</v>
      </c>
      <c r="AE11" s="10">
        <f t="shared" si="3"/>
        <v>57.67</v>
      </c>
      <c r="AF11" s="10">
        <f t="shared" si="4"/>
      </c>
      <c r="AG11" s="10">
        <f t="shared" si="5"/>
      </c>
      <c r="AH11" s="10">
        <f t="shared" si="6"/>
      </c>
      <c r="AI11" s="10">
        <f t="shared" si="7"/>
        <v>42.96</v>
      </c>
      <c r="AJ11" s="3">
        <f>AVERAGE(AD11,AE11,AI11)</f>
        <v>44.623333333333335</v>
      </c>
      <c r="AK11" s="10">
        <f t="shared" si="8"/>
      </c>
      <c r="AL11" s="27">
        <f t="shared" si="9"/>
      </c>
      <c r="AM11" s="27">
        <f t="shared" si="10"/>
        <v>178.49333333333334</v>
      </c>
      <c r="AP11" t="e">
        <f>LARGE('Club Trophy'!C16:K16,9)</f>
        <v>#NUM!</v>
      </c>
    </row>
    <row r="12" spans="1:42" ht="12.75">
      <c r="A12" s="105" t="s">
        <v>22</v>
      </c>
      <c r="B12" s="106"/>
      <c r="C12" s="107"/>
      <c r="D12" s="106">
        <v>29.13</v>
      </c>
      <c r="E12" s="107">
        <v>100</v>
      </c>
      <c r="F12" s="106"/>
      <c r="G12" s="107"/>
      <c r="H12" s="106"/>
      <c r="I12" s="107"/>
      <c r="J12" s="106"/>
      <c r="K12" s="107"/>
      <c r="L12" s="106">
        <v>23.02</v>
      </c>
      <c r="M12" s="107">
        <v>208</v>
      </c>
      <c r="N12" s="106">
        <v>30.54</v>
      </c>
      <c r="O12" s="108" t="s">
        <v>78</v>
      </c>
      <c r="P12" s="106"/>
      <c r="Q12" s="107"/>
      <c r="R12" s="106"/>
      <c r="S12" s="107"/>
      <c r="T12" s="109">
        <f t="shared" si="0"/>
        <v>2.5</v>
      </c>
      <c r="AB12" s="12"/>
      <c r="AC12" s="20" t="str">
        <f t="shared" si="1"/>
        <v>Christopher Knott</v>
      </c>
      <c r="AD12" s="10">
        <f t="shared" si="2"/>
      </c>
      <c r="AE12" s="10">
        <f t="shared" si="3"/>
        <v>69.63</v>
      </c>
      <c r="AF12" s="10">
        <f t="shared" si="4"/>
      </c>
      <c r="AG12" s="10">
        <f t="shared" si="5"/>
      </c>
      <c r="AH12" s="10">
        <f t="shared" si="6"/>
      </c>
      <c r="AI12" s="10">
        <f t="shared" si="7"/>
        <v>47.99</v>
      </c>
      <c r="AJ12" s="3">
        <f>AVERAGE(AE12,AI12)</f>
        <v>58.81</v>
      </c>
      <c r="AK12" s="10">
        <f t="shared" si="8"/>
      </c>
      <c r="AL12" s="27">
        <f t="shared" si="9"/>
      </c>
      <c r="AM12" s="27">
        <f t="shared" si="10"/>
        <v>176.43</v>
      </c>
      <c r="AP12" t="e">
        <f>LARGE('Club Trophy'!C11:K11,9)</f>
        <v>#NUM!</v>
      </c>
    </row>
    <row r="13" spans="1:42" ht="12.75">
      <c r="A13" s="105" t="s">
        <v>23</v>
      </c>
      <c r="B13" s="106"/>
      <c r="C13" s="107"/>
      <c r="D13" s="106">
        <v>30.59</v>
      </c>
      <c r="E13" s="107">
        <v>144</v>
      </c>
      <c r="F13" s="106"/>
      <c r="G13" s="107"/>
      <c r="H13" s="106">
        <v>72.3</v>
      </c>
      <c r="I13" s="107">
        <v>165</v>
      </c>
      <c r="J13" s="106">
        <v>52.09</v>
      </c>
      <c r="K13" s="107">
        <v>212</v>
      </c>
      <c r="L13" s="106">
        <v>25.01</v>
      </c>
      <c r="M13" s="107">
        <v>290</v>
      </c>
      <c r="N13" s="106">
        <v>23.21</v>
      </c>
      <c r="O13" s="108" t="s">
        <v>60</v>
      </c>
      <c r="P13" s="106">
        <v>60.04</v>
      </c>
      <c r="Q13" s="107">
        <v>136</v>
      </c>
      <c r="R13" s="106"/>
      <c r="S13" s="107"/>
      <c r="T13" s="109">
        <f t="shared" si="0"/>
        <v>5.5</v>
      </c>
      <c r="AB13" s="12"/>
      <c r="AC13" s="20" t="str">
        <f t="shared" si="1"/>
        <v>John Nolan</v>
      </c>
      <c r="AD13" s="10">
        <f t="shared" si="2"/>
      </c>
      <c r="AE13" s="10">
        <f t="shared" si="3"/>
        <v>56.13</v>
      </c>
      <c r="AF13" s="10">
        <f t="shared" si="4"/>
      </c>
      <c r="AG13" s="10">
        <f t="shared" si="5"/>
        <v>32.79</v>
      </c>
      <c r="AH13" s="10">
        <f t="shared" si="6"/>
        <v>23.83</v>
      </c>
      <c r="AI13" s="10">
        <f t="shared" si="7"/>
        <v>27.39</v>
      </c>
      <c r="AJ13" s="3">
        <f>AVERAGE(AE13,AG13,AK13)</f>
        <v>42.42666666666667</v>
      </c>
      <c r="AK13" s="10">
        <f t="shared" si="8"/>
        <v>38.36</v>
      </c>
      <c r="AL13" s="27">
        <f t="shared" si="9"/>
      </c>
      <c r="AM13" s="27">
        <f t="shared" si="10"/>
        <v>182.56666666666666</v>
      </c>
      <c r="AP13" t="e">
        <f>LARGE('Club Trophy'!C12:K12,9)</f>
        <v>#NUM!</v>
      </c>
    </row>
    <row r="14" spans="1:42" ht="12.75">
      <c r="A14" s="105" t="s">
        <v>24</v>
      </c>
      <c r="B14" s="106"/>
      <c r="C14" s="107"/>
      <c r="D14" s="106"/>
      <c r="E14" s="107"/>
      <c r="F14" s="106"/>
      <c r="G14" s="107"/>
      <c r="H14" s="106"/>
      <c r="I14" s="107"/>
      <c r="J14" s="106">
        <v>49.52</v>
      </c>
      <c r="K14" s="107">
        <v>180</v>
      </c>
      <c r="L14" s="106">
        <v>24.49</v>
      </c>
      <c r="M14" s="107">
        <v>283</v>
      </c>
      <c r="N14" s="106">
        <v>32.39</v>
      </c>
      <c r="O14" s="108" t="s">
        <v>78</v>
      </c>
      <c r="P14" s="106">
        <v>66.03</v>
      </c>
      <c r="Q14" s="107">
        <v>174</v>
      </c>
      <c r="R14" s="106"/>
      <c r="S14" s="107"/>
      <c r="T14" s="109">
        <f t="shared" si="0"/>
        <v>3.5</v>
      </c>
      <c r="AB14" s="12"/>
      <c r="AC14" s="20" t="str">
        <f t="shared" si="1"/>
        <v>Andrew Moore</v>
      </c>
      <c r="AD14" s="10">
        <f t="shared" si="2"/>
      </c>
      <c r="AE14" s="10">
        <f t="shared" si="3"/>
      </c>
      <c r="AF14" s="10">
        <f t="shared" si="4"/>
      </c>
      <c r="AG14" s="10">
        <f t="shared" si="5"/>
      </c>
      <c r="AH14" s="10">
        <f t="shared" si="6"/>
        <v>35.38</v>
      </c>
      <c r="AI14" s="10">
        <f t="shared" si="7"/>
        <v>29.15</v>
      </c>
      <c r="AJ14" s="3">
        <f>AVERAGE(AH14,AI14,AK14)</f>
        <v>28.51</v>
      </c>
      <c r="AK14" s="10">
        <f t="shared" si="8"/>
        <v>21</v>
      </c>
      <c r="AL14" s="27">
        <f t="shared" si="9"/>
      </c>
      <c r="AM14" s="27">
        <f t="shared" si="10"/>
        <v>93.04</v>
      </c>
      <c r="AP14" t="e">
        <f>LARGE('Club Trophy'!C14:K14,9)</f>
        <v>#NUM!</v>
      </c>
    </row>
    <row r="15" spans="1:42" ht="12.75">
      <c r="A15" s="105" t="s">
        <v>25</v>
      </c>
      <c r="B15" s="106"/>
      <c r="C15" s="107"/>
      <c r="D15" s="106"/>
      <c r="E15" s="107"/>
      <c r="F15" s="106"/>
      <c r="G15" s="107"/>
      <c r="H15" s="106"/>
      <c r="I15" s="107"/>
      <c r="J15" s="106"/>
      <c r="K15" s="107"/>
      <c r="L15" s="106">
        <v>22.13</v>
      </c>
      <c r="M15" s="107">
        <v>144</v>
      </c>
      <c r="N15" s="106"/>
      <c r="O15" s="108"/>
      <c r="P15" s="106"/>
      <c r="Q15" s="107"/>
      <c r="R15" s="106"/>
      <c r="S15" s="107"/>
      <c r="T15" s="109">
        <f t="shared" si="0"/>
        <v>1</v>
      </c>
      <c r="AB15" s="12"/>
      <c r="AC15" s="20" t="str">
        <f t="shared" si="1"/>
        <v>Robbie Scholes</v>
      </c>
      <c r="AD15" s="10">
        <f t="shared" si="2"/>
      </c>
      <c r="AE15" s="10">
        <f>IF(ISBLANK(E15),"",ROUND((21-8+1)/21*100,2))</f>
      </c>
      <c r="AF15" s="10">
        <f t="shared" si="4"/>
      </c>
      <c r="AG15" s="10">
        <f t="shared" si="5"/>
      </c>
      <c r="AH15" s="10">
        <f>IF(ISBLANK(K15),"",ROUND((23-10+1)/23*100,2))</f>
      </c>
      <c r="AI15" s="10">
        <f t="shared" si="7"/>
        <v>64.07</v>
      </c>
      <c r="AK15" s="10">
        <f>IF(ISBLANK(Q15),"",ROUND((23-16+1)/23*100,2))</f>
      </c>
      <c r="AL15" s="27">
        <f t="shared" si="9"/>
      </c>
      <c r="AM15" s="27">
        <f t="shared" si="10"/>
        <v>64.07</v>
      </c>
      <c r="AP15" t="e">
        <f>LARGE('Club Trophy'!C17:K17,9)</f>
        <v>#NUM!</v>
      </c>
    </row>
    <row r="16" spans="1:42" ht="12.75">
      <c r="A16" s="105" t="s">
        <v>26</v>
      </c>
      <c r="B16" s="106"/>
      <c r="C16" s="107"/>
      <c r="D16" s="106"/>
      <c r="E16" s="107"/>
      <c r="F16" s="106"/>
      <c r="G16" s="107"/>
      <c r="H16" s="106"/>
      <c r="I16" s="107"/>
      <c r="J16" s="106"/>
      <c r="K16" s="107"/>
      <c r="L16" s="106"/>
      <c r="M16" s="107"/>
      <c r="N16" s="106"/>
      <c r="O16" s="108"/>
      <c r="P16" s="106"/>
      <c r="Q16" s="107"/>
      <c r="R16" s="106"/>
      <c r="S16" s="107"/>
      <c r="T16" s="109">
        <f t="shared" si="0"/>
        <v>0</v>
      </c>
      <c r="AB16" s="12"/>
      <c r="AC16" s="20" t="str">
        <f t="shared" si="1"/>
        <v>Shaun Calamatta</v>
      </c>
      <c r="AD16" s="10">
        <f t="shared" si="2"/>
      </c>
      <c r="AE16" s="10">
        <f aca="true" t="shared" si="11" ref="AE16:AE21">IF(ISBLANK(E16),"",ROUND((E$24-E16+1)/E$24*100,2))</f>
      </c>
      <c r="AF16" s="10">
        <f>IF(ISBLANK(G16),"",ROUND((19-13+1)/19*100,2))</f>
      </c>
      <c r="AG16" s="10">
        <f t="shared" si="5"/>
      </c>
      <c r="AH16" s="10">
        <f>IF(ISBLANK(D16),"",ROUND((D$24-D16+1)/D$24*100,2))</f>
      </c>
      <c r="AI16" s="10">
        <f>IF(ISBLANK(M16),"",ROUND((25-M16+1)/25*100,2))</f>
      </c>
      <c r="AJ16" s="10"/>
      <c r="AK16" s="11"/>
      <c r="AL16" s="12">
        <f t="shared" si="9"/>
      </c>
      <c r="AM16" s="27">
        <f t="shared" si="10"/>
        <v>0</v>
      </c>
      <c r="AP16" t="e">
        <f>LARGE('Club Trophy'!C19:K19,9)</f>
        <v>#NUM!</v>
      </c>
    </row>
    <row r="17" spans="1:42" ht="12.75">
      <c r="A17" s="105" t="s">
        <v>27</v>
      </c>
      <c r="B17" s="106"/>
      <c r="C17" s="107"/>
      <c r="D17" s="106"/>
      <c r="E17" s="107"/>
      <c r="F17" s="106"/>
      <c r="G17" s="107"/>
      <c r="H17" s="106"/>
      <c r="I17" s="107"/>
      <c r="J17" s="106"/>
      <c r="K17" s="107"/>
      <c r="L17" s="106"/>
      <c r="M17" s="107"/>
      <c r="N17" s="106"/>
      <c r="O17" s="108"/>
      <c r="P17" s="106"/>
      <c r="Q17" s="107"/>
      <c r="R17" s="106"/>
      <c r="S17" s="107"/>
      <c r="T17" s="109">
        <f t="shared" si="0"/>
        <v>0</v>
      </c>
      <c r="AB17" s="12"/>
      <c r="AC17" s="20" t="str">
        <f t="shared" si="1"/>
        <v>Andrew Charlesworth</v>
      </c>
      <c r="AD17" s="10">
        <f t="shared" si="2"/>
      </c>
      <c r="AE17" s="10">
        <f t="shared" si="11"/>
      </c>
      <c r="AF17" s="10">
        <f>IF(ISBLANK(G17),"",ROUND((G$24-G17+1)/G$24*100,2))</f>
      </c>
      <c r="AG17" s="10">
        <f t="shared" si="5"/>
      </c>
      <c r="AH17" s="10">
        <f>IF(ISBLANK(K17),"",ROUND((K$24-K17+1)/K$24*100,2))</f>
      </c>
      <c r="AI17" s="10">
        <f>IF(ISBLANK(M17),"",ROUND((M$24-M17+1)/M$24*100,2))</f>
      </c>
      <c r="AK17" s="10">
        <f>IF(ISBLANK(Q17),"",ROUND((23-21+1)/23*100,2))</f>
      </c>
      <c r="AL17" s="27">
        <f t="shared" si="9"/>
      </c>
      <c r="AM17" s="27">
        <f t="shared" si="10"/>
        <v>0</v>
      </c>
      <c r="AP17" t="e">
        <f>LARGE('Club Trophy'!C20:K20,9)</f>
        <v>#NUM!</v>
      </c>
    </row>
    <row r="18" spans="1:42" ht="12.75">
      <c r="A18" s="105" t="s">
        <v>28</v>
      </c>
      <c r="B18" s="106"/>
      <c r="C18" s="107"/>
      <c r="D18" s="106"/>
      <c r="E18" s="107"/>
      <c r="F18" s="106"/>
      <c r="G18" s="107"/>
      <c r="H18" s="106"/>
      <c r="I18" s="107"/>
      <c r="J18" s="106"/>
      <c r="K18" s="107"/>
      <c r="L18" s="106"/>
      <c r="M18" s="107"/>
      <c r="N18" s="106"/>
      <c r="O18" s="108"/>
      <c r="P18" s="106"/>
      <c r="Q18" s="107"/>
      <c r="R18" s="106"/>
      <c r="S18" s="107"/>
      <c r="T18" s="109">
        <f t="shared" si="0"/>
        <v>0</v>
      </c>
      <c r="AB18" s="12"/>
      <c r="AC18" s="20" t="str">
        <f t="shared" si="1"/>
        <v>Nigel Aylott</v>
      </c>
      <c r="AD18" s="10">
        <f t="shared" si="2"/>
      </c>
      <c r="AE18" s="10">
        <f t="shared" si="11"/>
      </c>
      <c r="AF18" s="10">
        <f>IF(ISBLANK(G18),"",ROUND((G$24-G18+1)/G$24*100,2))</f>
      </c>
      <c r="AG18" s="10">
        <f t="shared" si="5"/>
      </c>
      <c r="AH18" s="10">
        <f>IF(ISBLANK(K18),"",ROUND((K$24-K18+1)/K$24*100,2))</f>
      </c>
      <c r="AI18" s="10">
        <f>IF(ISBLANK(M18),"",ROUND((M$24-M18+1)/M$24*100,2))</f>
      </c>
      <c r="AK18" s="10">
        <f>IF(ISBLANK(Q18),"",ROUND((Q$24-Q18+1)/Q$24*100,2))</f>
      </c>
      <c r="AL18" s="27">
        <f t="shared" si="9"/>
      </c>
      <c r="AM18" s="27">
        <f t="shared" si="10"/>
        <v>0</v>
      </c>
      <c r="AP18" t="e">
        <f>LARGE('Club Trophy'!C21:K21,9)</f>
        <v>#NUM!</v>
      </c>
    </row>
    <row r="19" spans="1:42" ht="12.75">
      <c r="A19" s="105" t="s">
        <v>61</v>
      </c>
      <c r="B19" s="106"/>
      <c r="C19" s="107"/>
      <c r="D19" s="106"/>
      <c r="E19" s="107"/>
      <c r="F19" s="106">
        <v>35.18</v>
      </c>
      <c r="G19" s="107">
        <v>155</v>
      </c>
      <c r="H19" s="106">
        <v>66</v>
      </c>
      <c r="I19" s="107">
        <v>103</v>
      </c>
      <c r="J19" s="106">
        <v>49.06</v>
      </c>
      <c r="K19" s="107">
        <v>173</v>
      </c>
      <c r="L19" s="106">
        <v>22.3</v>
      </c>
      <c r="M19" s="107">
        <v>172</v>
      </c>
      <c r="N19" s="106"/>
      <c r="O19" s="108"/>
      <c r="P19" s="106">
        <v>68.19</v>
      </c>
      <c r="Q19" s="107">
        <v>184</v>
      </c>
      <c r="R19" s="106">
        <v>86.14</v>
      </c>
      <c r="S19" s="107">
        <v>107</v>
      </c>
      <c r="T19" s="109">
        <f t="shared" si="0"/>
        <v>6</v>
      </c>
      <c r="AB19" s="12"/>
      <c r="AC19" s="20" t="str">
        <f t="shared" si="1"/>
        <v>Mike Harvey</v>
      </c>
      <c r="AD19" s="10">
        <f t="shared" si="2"/>
      </c>
      <c r="AE19" s="10">
        <f t="shared" si="11"/>
      </c>
      <c r="AF19" s="10">
        <f>IF(ISBLANK(G19),"",ROUND((G$24-G19+1)/G$24*100,2))</f>
        <v>54.97</v>
      </c>
      <c r="AG19" s="10">
        <f t="shared" si="5"/>
        <v>58.2</v>
      </c>
      <c r="AH19" s="10">
        <f>IF(ISBLANK(K19),"",ROUND((K$24-K19+1)/K$24*100,2))</f>
        <v>37.91</v>
      </c>
      <c r="AI19" s="10">
        <f>IF(ISBLANK(M19),"",ROUND((M$24-M19+1)/M$24*100,2))</f>
        <v>57.04</v>
      </c>
      <c r="AK19" s="10">
        <f>IF(ISBLANK(Q19),"",ROUND((Q$24-Q19+1)/Q$24*100,2))</f>
        <v>16.44</v>
      </c>
      <c r="AL19" s="27">
        <f t="shared" si="9"/>
        <v>52.47</v>
      </c>
      <c r="AM19" s="27">
        <f t="shared" si="10"/>
        <v>208.11999999999998</v>
      </c>
      <c r="AP19" t="e">
        <f>LARGE('Club Trophy'!C22:K22,9)</f>
        <v>#NUM!</v>
      </c>
    </row>
    <row r="20" spans="1:42" ht="12.75">
      <c r="A20" s="105" t="s">
        <v>57</v>
      </c>
      <c r="B20" s="106"/>
      <c r="C20" s="107"/>
      <c r="D20" s="106"/>
      <c r="E20" s="107"/>
      <c r="F20" s="106"/>
      <c r="G20" s="107"/>
      <c r="H20" s="106"/>
      <c r="I20" s="107"/>
      <c r="J20" s="106"/>
      <c r="K20" s="107"/>
      <c r="L20" s="106">
        <v>27.2</v>
      </c>
      <c r="M20" s="107">
        <v>352</v>
      </c>
      <c r="N20" s="106"/>
      <c r="O20" s="108"/>
      <c r="P20" s="106"/>
      <c r="Q20" s="107"/>
      <c r="R20" s="106"/>
      <c r="S20" s="107"/>
      <c r="T20" s="109">
        <f t="shared" si="0"/>
        <v>1</v>
      </c>
      <c r="AB20" s="12"/>
      <c r="AC20" s="20" t="str">
        <f t="shared" si="1"/>
        <v>Clyde Riddoch</v>
      </c>
      <c r="AD20" s="10">
        <f t="shared" si="2"/>
      </c>
      <c r="AE20" s="10">
        <f t="shared" si="11"/>
      </c>
      <c r="AF20" s="10">
        <f>IF(ISBLANK(G20),"",ROUND((G$24-G20+1)/G$24*100,2))</f>
      </c>
      <c r="AG20" s="10">
        <f t="shared" si="5"/>
      </c>
      <c r="AH20" s="10">
        <f>IF(ISBLANK(K20),"",ROUND((K$24-K20+1)/K$24*100,2))</f>
      </c>
      <c r="AI20" s="10">
        <f>IF(ISBLANK(M20),"",ROUND((M$24-M20+1)/M$24*100,2))</f>
        <v>11.81</v>
      </c>
      <c r="AK20" s="10">
        <f>IF(ISBLANK(Q20),"",ROUND((Q$24-Q20+1)/Q$24*100,2))</f>
      </c>
      <c r="AL20" s="27">
        <f t="shared" si="9"/>
      </c>
      <c r="AM20" s="27">
        <f t="shared" si="10"/>
        <v>11.81</v>
      </c>
      <c r="AP20" t="e">
        <f>LARGE('Club Trophy'!C23:K23,9)</f>
        <v>#NUM!</v>
      </c>
    </row>
    <row r="21" spans="1:42" ht="12.75">
      <c r="A21" s="110" t="s">
        <v>62</v>
      </c>
      <c r="B21" s="111"/>
      <c r="C21" s="112"/>
      <c r="D21" s="111"/>
      <c r="E21" s="112"/>
      <c r="F21" s="111"/>
      <c r="G21" s="112"/>
      <c r="H21" s="111"/>
      <c r="I21" s="112"/>
      <c r="J21" s="111"/>
      <c r="K21" s="112"/>
      <c r="L21" s="111"/>
      <c r="M21" s="112"/>
      <c r="N21" s="111"/>
      <c r="O21" s="113"/>
      <c r="P21" s="111"/>
      <c r="Q21" s="112"/>
      <c r="R21" s="111"/>
      <c r="S21" s="112"/>
      <c r="T21" s="114">
        <f t="shared" si="0"/>
        <v>0</v>
      </c>
      <c r="AB21" s="12"/>
      <c r="AC21" s="20" t="str">
        <f t="shared" si="1"/>
        <v>Darren McGee</v>
      </c>
      <c r="AD21" s="10">
        <f t="shared" si="2"/>
      </c>
      <c r="AE21" s="10">
        <f t="shared" si="11"/>
      </c>
      <c r="AF21" s="10">
        <f>IF(ISBLANK(G21),"",ROUND((G$24-G21+1)/G$24*100,2))</f>
      </c>
      <c r="AG21" s="10">
        <f t="shared" si="5"/>
      </c>
      <c r="AH21" s="10">
        <f>IF(ISBLANK(K21),"",ROUND((K$24-K21+1)/K$24*100,2))</f>
      </c>
      <c r="AI21" s="10">
        <f>IF(ISBLANK(M21),"",ROUND((M$24-M21+1)/M$24*100,2))</f>
      </c>
      <c r="AK21" s="10">
        <f>IF(ISBLANK(Q21),"",ROUND((Q$24-Q21+1)/Q$24*100,2))</f>
      </c>
      <c r="AL21" s="27">
        <f t="shared" si="9"/>
      </c>
      <c r="AM21" s="27">
        <f t="shared" si="10"/>
        <v>0</v>
      </c>
      <c r="AP21" t="e">
        <f>LARGE('Club Trophy'!C24:K24,9)</f>
        <v>#NUM!</v>
      </c>
    </row>
    <row r="22" spans="1:54" s="6" customFormat="1" ht="12.75">
      <c r="A22" s="20"/>
      <c r="B22" s="8"/>
      <c r="C22" s="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69"/>
      <c r="U22" s="11"/>
      <c r="V22" s="11"/>
      <c r="W22" s="11"/>
      <c r="X22" s="11"/>
      <c r="Y22" s="11"/>
      <c r="Z22" s="11"/>
      <c r="AA22" s="11"/>
      <c r="AB22" s="12"/>
      <c r="AC22" s="20"/>
      <c r="AD22" s="10"/>
      <c r="AE22" s="10"/>
      <c r="AF22" s="10"/>
      <c r="AG22" s="10"/>
      <c r="AH22" s="10"/>
      <c r="AI22" s="10"/>
      <c r="AJ22" s="10"/>
      <c r="AK22" s="10"/>
      <c r="AL22" s="12"/>
      <c r="AM22" s="12"/>
      <c r="AO22"/>
      <c r="AP22" t="e">
        <f>LARGE('Club Trophy'!C25:K25,9)</f>
        <v>#NUM!</v>
      </c>
      <c r="AQ22"/>
      <c r="AR22"/>
      <c r="AS22"/>
      <c r="AT22"/>
      <c r="AU22"/>
      <c r="AV22"/>
      <c r="AW22"/>
      <c r="AX22"/>
      <c r="AY22"/>
      <c r="AZ22"/>
      <c r="BB22"/>
    </row>
    <row r="23" spans="1:42" ht="12.75">
      <c r="A23" s="29" t="s">
        <v>29</v>
      </c>
      <c r="B23" s="84"/>
      <c r="C23" s="85">
        <f>COUNT(B7:B22)</f>
        <v>5</v>
      </c>
      <c r="D23" s="84"/>
      <c r="E23" s="85">
        <f>COUNT(D7:D22)</f>
        <v>4</v>
      </c>
      <c r="F23" s="84"/>
      <c r="G23" s="85">
        <f>COUNT(F7:F22)</f>
        <v>1</v>
      </c>
      <c r="H23" s="84"/>
      <c r="I23" s="85">
        <f>COUNT(H7:H22)</f>
        <v>3</v>
      </c>
      <c r="J23" s="84"/>
      <c r="K23" s="85">
        <f>COUNT(J7:J22)</f>
        <v>6</v>
      </c>
      <c r="L23" s="84"/>
      <c r="M23" s="85">
        <f>COUNT(L7:L22)</f>
        <v>9</v>
      </c>
      <c r="N23" s="84"/>
      <c r="O23" s="85">
        <f>COUNT(N7:N22)</f>
        <v>5</v>
      </c>
      <c r="P23" s="84"/>
      <c r="Q23" s="85">
        <f>COUNT(P7:P22)</f>
        <v>5</v>
      </c>
      <c r="R23" s="84"/>
      <c r="S23" s="85">
        <f>COUNT(R7:R22)</f>
        <v>1</v>
      </c>
      <c r="T23" s="71"/>
      <c r="U23" s="13"/>
      <c r="V23" s="13"/>
      <c r="W23" s="13"/>
      <c r="X23" s="13"/>
      <c r="Y23" s="13"/>
      <c r="Z23" s="13"/>
      <c r="AA23" s="13"/>
      <c r="AB23" s="30"/>
      <c r="AC23" s="20"/>
      <c r="AD23" s="10"/>
      <c r="AE23" s="10"/>
      <c r="AF23" s="10"/>
      <c r="AG23" s="10"/>
      <c r="AH23" s="10"/>
      <c r="AI23" s="10"/>
      <c r="AJ23" s="10"/>
      <c r="AK23" s="10"/>
      <c r="AL23" s="12"/>
      <c r="AM23" s="12"/>
      <c r="AP23" t="e">
        <f>LARGE('Club Trophy'!C26:K26,9)</f>
        <v>#NUM!</v>
      </c>
    </row>
    <row r="24" spans="1:42" ht="12.75">
      <c r="A24" s="31" t="s">
        <v>30</v>
      </c>
      <c r="B24" s="35"/>
      <c r="C24" s="86">
        <v>352</v>
      </c>
      <c r="D24" s="36"/>
      <c r="E24" s="86">
        <v>326</v>
      </c>
      <c r="F24" s="35"/>
      <c r="G24" s="86">
        <v>342</v>
      </c>
      <c r="H24" s="36"/>
      <c r="I24" s="86">
        <v>244</v>
      </c>
      <c r="J24" s="36"/>
      <c r="K24" s="86">
        <v>277</v>
      </c>
      <c r="L24" s="35"/>
      <c r="M24" s="86">
        <v>398</v>
      </c>
      <c r="N24" s="36"/>
      <c r="O24" s="86">
        <v>255</v>
      </c>
      <c r="P24" s="36"/>
      <c r="Q24" s="86">
        <v>219</v>
      </c>
      <c r="R24" s="36"/>
      <c r="S24" s="86">
        <v>223</v>
      </c>
      <c r="T24" s="72"/>
      <c r="U24" s="13"/>
      <c r="V24" s="13"/>
      <c r="W24" s="13"/>
      <c r="X24" s="13"/>
      <c r="Y24" s="13"/>
      <c r="Z24" s="13"/>
      <c r="AA24" s="13"/>
      <c r="AB24" s="30"/>
      <c r="AC24" s="20"/>
      <c r="AD24" s="10"/>
      <c r="AE24" s="10"/>
      <c r="AF24" s="10"/>
      <c r="AG24" s="10"/>
      <c r="AH24" s="10"/>
      <c r="AI24" s="10"/>
      <c r="AJ24" s="10"/>
      <c r="AK24" s="10"/>
      <c r="AL24" s="12"/>
      <c r="AM24" s="12"/>
      <c r="AP24" t="e">
        <f>LARGE('Club Trophy'!C27:K27,9)</f>
        <v>#NUM!</v>
      </c>
    </row>
    <row r="25" spans="1:42" ht="12.75">
      <c r="A25" s="11"/>
      <c r="B25" s="8"/>
      <c r="C25" s="56"/>
      <c r="F25" s="8"/>
      <c r="L25" s="8"/>
      <c r="T25" s="46"/>
      <c r="AB25" s="11"/>
      <c r="AC25" s="20"/>
      <c r="AD25" s="10"/>
      <c r="AE25" s="10"/>
      <c r="AF25" s="10"/>
      <c r="AG25" s="10"/>
      <c r="AH25" s="10"/>
      <c r="AI25" s="10"/>
      <c r="AJ25" s="10"/>
      <c r="AK25" s="10"/>
      <c r="AL25" s="12"/>
      <c r="AM25" s="12"/>
      <c r="AP25" t="e">
        <f>LARGE('Club Trophy'!C28:K28,9)</f>
        <v>#NUM!</v>
      </c>
    </row>
    <row r="26" spans="1:42" ht="20.25" customHeight="1">
      <c r="A26" s="54"/>
      <c r="T26" s="46"/>
      <c r="AB26" s="11"/>
      <c r="AC26" s="20"/>
      <c r="AD26" s="10"/>
      <c r="AE26" s="10"/>
      <c r="AF26" s="10"/>
      <c r="AG26" s="10"/>
      <c r="AH26" s="10"/>
      <c r="AI26" s="10"/>
      <c r="AJ26" s="10"/>
      <c r="AK26" s="10"/>
      <c r="AL26" s="12"/>
      <c r="AM26" s="12"/>
      <c r="AP26" t="e">
        <f>LARGE('Club Trophy'!#REF!,9)</f>
        <v>#REF!</v>
      </c>
    </row>
    <row r="27" spans="1:54" s="2" customFormat="1" ht="36" customHeight="1">
      <c r="A27" s="47"/>
      <c r="B27" s="49" t="str">
        <f>B3</f>
        <v>Brimbank CC Relays</v>
      </c>
      <c r="C27" s="50"/>
      <c r="D27" s="49" t="s">
        <v>32</v>
      </c>
      <c r="E27" s="50"/>
      <c r="F27" s="49" t="str">
        <f>F3</f>
        <v>Flemington Road 10K</v>
      </c>
      <c r="G27" s="50"/>
      <c r="H27" s="49" t="s">
        <v>33</v>
      </c>
      <c r="I27" s="90"/>
      <c r="J27" s="49" t="s">
        <v>31</v>
      </c>
      <c r="K27" s="50"/>
      <c r="L27" s="49" t="str">
        <f>L3</f>
        <v>Sandown Road Relays</v>
      </c>
      <c r="M27" s="90"/>
      <c r="N27" s="49" t="str">
        <f>N3</f>
        <v>Bendigo Coliban Road Relay</v>
      </c>
      <c r="O27" s="90"/>
      <c r="P27" s="49" t="str">
        <f>P3</f>
        <v>A. Park Road 15K</v>
      </c>
      <c r="Q27" s="90"/>
      <c r="R27" s="49" t="str">
        <f>R3</f>
        <v>Burnley    1/2 Mara</v>
      </c>
      <c r="S27" s="50"/>
      <c r="T27" s="68" t="s">
        <v>9</v>
      </c>
      <c r="U27" s="57"/>
      <c r="V27" s="57"/>
      <c r="W27" s="57"/>
      <c r="X27" s="57"/>
      <c r="Y27" s="57"/>
      <c r="Z27" s="57"/>
      <c r="AA27" s="57"/>
      <c r="AB27" s="24"/>
      <c r="AC27" s="20"/>
      <c r="AD27" s="10"/>
      <c r="AE27" s="10"/>
      <c r="AF27" s="10"/>
      <c r="AG27" s="10"/>
      <c r="AH27" s="10"/>
      <c r="AI27" s="10"/>
      <c r="AJ27" s="10"/>
      <c r="AK27" s="10"/>
      <c r="AL27" s="12"/>
      <c r="AM27" s="12"/>
      <c r="AO27"/>
      <c r="AP27" t="e">
        <f>LARGE('Club Trophy'!#REF!,9)</f>
        <v>#REF!</v>
      </c>
      <c r="AQ27"/>
      <c r="AR27"/>
      <c r="AS27"/>
      <c r="AT27"/>
      <c r="AU27"/>
      <c r="AV27"/>
      <c r="AW27"/>
      <c r="AX27"/>
      <c r="AY27"/>
      <c r="AZ27"/>
      <c r="BB27"/>
    </row>
    <row r="28" spans="1:54" s="4" customFormat="1" ht="12.75">
      <c r="A28" s="18"/>
      <c r="B28" s="8" t="s">
        <v>66</v>
      </c>
      <c r="C28" s="9"/>
      <c r="D28" s="8" t="s">
        <v>70</v>
      </c>
      <c r="E28" s="9"/>
      <c r="F28" s="8" t="s">
        <v>71</v>
      </c>
      <c r="G28" s="9"/>
      <c r="H28" s="8" t="str">
        <f>H4</f>
        <v>3.6.00</v>
      </c>
      <c r="I28" s="9"/>
      <c r="J28" s="8" t="str">
        <f>J4</f>
        <v>8.7.00</v>
      </c>
      <c r="K28" s="9"/>
      <c r="L28" s="8" t="s">
        <v>74</v>
      </c>
      <c r="M28" s="9"/>
      <c r="N28" s="8" t="str">
        <f>N4</f>
        <v>26.8.00</v>
      </c>
      <c r="O28" s="9"/>
      <c r="P28" s="8" t="str">
        <f>P4</f>
        <v>10.9.00</v>
      </c>
      <c r="Q28" s="9"/>
      <c r="R28" s="8" t="str">
        <f>R4</f>
        <v>24.9.00</v>
      </c>
      <c r="S28" s="9"/>
      <c r="T28" s="69"/>
      <c r="U28" s="56"/>
      <c r="V28" s="56"/>
      <c r="W28" s="56"/>
      <c r="X28" s="56"/>
      <c r="Y28" s="56"/>
      <c r="Z28" s="56"/>
      <c r="AA28" s="56"/>
      <c r="AB28" s="9"/>
      <c r="AC28" s="20"/>
      <c r="AD28" s="10"/>
      <c r="AE28" s="10"/>
      <c r="AF28" s="10"/>
      <c r="AG28" s="10"/>
      <c r="AH28" s="10"/>
      <c r="AI28" s="10"/>
      <c r="AJ28" s="10"/>
      <c r="AK28" s="10"/>
      <c r="AL28" s="12"/>
      <c r="AM28" s="12"/>
      <c r="AO28"/>
      <c r="AP28" t="e">
        <f>LARGE('Club Trophy'!#REF!,8)</f>
        <v>#REF!</v>
      </c>
      <c r="AQ28"/>
      <c r="AR28"/>
      <c r="AS28"/>
      <c r="AT28"/>
      <c r="AU28"/>
      <c r="AV28"/>
      <c r="AW28"/>
      <c r="AX28"/>
      <c r="AY28"/>
      <c r="AZ28"/>
      <c r="BB28"/>
    </row>
    <row r="29" spans="1:54" s="4" customFormat="1" ht="12.75">
      <c r="A29" s="64"/>
      <c r="B29" s="65" t="s">
        <v>15</v>
      </c>
      <c r="C29" s="66" t="s">
        <v>16</v>
      </c>
      <c r="D29" s="65" t="s">
        <v>15</v>
      </c>
      <c r="E29" s="66" t="s">
        <v>16</v>
      </c>
      <c r="F29" s="65" t="s">
        <v>15</v>
      </c>
      <c r="G29" s="66" t="s">
        <v>16</v>
      </c>
      <c r="H29" s="65" t="s">
        <v>15</v>
      </c>
      <c r="I29" s="66" t="s">
        <v>16</v>
      </c>
      <c r="J29" s="65" t="s">
        <v>15</v>
      </c>
      <c r="K29" s="66" t="s">
        <v>16</v>
      </c>
      <c r="L29" s="65" t="s">
        <v>15</v>
      </c>
      <c r="M29" s="66" t="s">
        <v>16</v>
      </c>
      <c r="N29" s="65" t="s">
        <v>15</v>
      </c>
      <c r="O29" s="66" t="s">
        <v>17</v>
      </c>
      <c r="P29" s="65" t="s">
        <v>15</v>
      </c>
      <c r="Q29" s="66" t="s">
        <v>16</v>
      </c>
      <c r="R29" s="65" t="s">
        <v>15</v>
      </c>
      <c r="S29" s="66" t="s">
        <v>16</v>
      </c>
      <c r="T29" s="76"/>
      <c r="U29" s="56"/>
      <c r="V29" s="56"/>
      <c r="W29" s="56"/>
      <c r="X29" s="56"/>
      <c r="Y29" s="56"/>
      <c r="Z29" s="56"/>
      <c r="AA29" s="56"/>
      <c r="AB29" s="9"/>
      <c r="AC29" s="18"/>
      <c r="AD29" s="8"/>
      <c r="AE29" s="8"/>
      <c r="AF29" s="8"/>
      <c r="AG29" s="8"/>
      <c r="AH29" s="8"/>
      <c r="AI29" s="8"/>
      <c r="AJ29" s="8"/>
      <c r="AK29" s="8"/>
      <c r="AL29" s="9"/>
      <c r="AM29" s="9"/>
      <c r="AO29"/>
      <c r="AP29" t="e">
        <f>LARGE('Club Trophy'!#REF!,8)</f>
        <v>#REF!</v>
      </c>
      <c r="AQ29"/>
      <c r="AR29"/>
      <c r="AS29"/>
      <c r="AT29"/>
      <c r="AU29"/>
      <c r="AV29"/>
      <c r="AW29"/>
      <c r="AX29"/>
      <c r="AY29"/>
      <c r="AZ29"/>
      <c r="BB29"/>
    </row>
    <row r="30" spans="1:42" ht="12.75">
      <c r="A30" s="22" t="s">
        <v>34</v>
      </c>
      <c r="B30" s="8"/>
      <c r="C30" s="9"/>
      <c r="E30" s="9"/>
      <c r="F30" s="8"/>
      <c r="G30" s="9"/>
      <c r="I30" s="9"/>
      <c r="K30" s="9"/>
      <c r="L30" s="8"/>
      <c r="M30" s="9"/>
      <c r="O30" s="9"/>
      <c r="Q30" s="9"/>
      <c r="R30" s="91"/>
      <c r="S30" s="93"/>
      <c r="T30" s="69"/>
      <c r="AB30" s="12"/>
      <c r="AC30" s="22"/>
      <c r="AD30" s="10"/>
      <c r="AE30" s="10"/>
      <c r="AF30" s="10"/>
      <c r="AG30" s="10"/>
      <c r="AH30" s="10"/>
      <c r="AI30" s="10"/>
      <c r="AJ30" s="10"/>
      <c r="AK30" s="10"/>
      <c r="AL30" s="12"/>
      <c r="AM30" s="27"/>
      <c r="AP30" t="e">
        <f>LARGE('Club Trophy'!#REF!,8)</f>
        <v>#REF!</v>
      </c>
    </row>
    <row r="31" spans="1:52" s="6" customFormat="1" ht="12.75">
      <c r="A31" s="100" t="s">
        <v>35</v>
      </c>
      <c r="B31" s="101">
        <v>30.05</v>
      </c>
      <c r="C31" s="102">
        <v>73</v>
      </c>
      <c r="D31" s="101">
        <v>25.14</v>
      </c>
      <c r="E31" s="102">
        <v>38</v>
      </c>
      <c r="F31" s="101"/>
      <c r="G31" s="102"/>
      <c r="H31" s="101">
        <v>16.24</v>
      </c>
      <c r="I31" s="102">
        <v>30</v>
      </c>
      <c r="J31" s="101"/>
      <c r="K31" s="102"/>
      <c r="L31" s="101"/>
      <c r="M31" s="102"/>
      <c r="N31" s="101"/>
      <c r="O31" s="103"/>
      <c r="P31" s="101"/>
      <c r="Q31" s="102"/>
      <c r="R31" s="101"/>
      <c r="S31" s="102"/>
      <c r="T31" s="104">
        <f>COUNT(B31:S31)/2</f>
        <v>3</v>
      </c>
      <c r="U31" s="11"/>
      <c r="V31" s="11"/>
      <c r="W31" s="11"/>
      <c r="X31" s="11"/>
      <c r="Y31" s="11"/>
      <c r="Z31" s="11"/>
      <c r="AA31" s="11"/>
      <c r="AB31" s="12"/>
      <c r="AC31" s="20" t="str">
        <f>A31</f>
        <v>Alison Correll</v>
      </c>
      <c r="AD31" s="10">
        <f>IF(ISBLANK(C31),"",ROUND((C$37-C31+1)/C$37*100,2))</f>
        <v>14.29</v>
      </c>
      <c r="AE31" s="62">
        <f>IF(ISBLANK(E31),"",ROUND((E$37-E31+1)/E$37*100,2))</f>
        <v>47.14</v>
      </c>
      <c r="AF31" s="62">
        <f>IF(ISBLANK(G31),"",ROUND((8-2+1)/8*100,2))</f>
      </c>
      <c r="AG31" s="62">
        <f>IF(ISBLANK(I31),"",ROUND((I$37-I31+1)/I$37*100,2))</f>
        <v>68.13</v>
      </c>
      <c r="AH31" s="10">
        <f>IF(ISBLANK(K31),"",ROUND((11-1+1)/11*100,2))</f>
      </c>
      <c r="AI31" s="62">
        <f>IF(ISBLANK(M31),"",ROUND((20-3+1)/20*100,2))</f>
      </c>
      <c r="AJ31" s="3"/>
      <c r="AK31" s="10">
        <f>IF(ISBLANK(Q31),"",ROUND((10-1+1)/10*100,2))</f>
      </c>
      <c r="AL31" s="63">
        <f>IF(ISBLANK(S31),"",ROUND((S$37-S31+1)/S$37*100,2))</f>
      </c>
      <c r="AM31" s="27">
        <f>SUM(AD31:AJ31)</f>
        <v>129.56</v>
      </c>
      <c r="AO31"/>
      <c r="AP31" t="e">
        <f>LARGE('Club Trophy'!#REF!,9)</f>
        <v>#REF!</v>
      </c>
      <c r="AQ31"/>
      <c r="AR31"/>
      <c r="AS31"/>
      <c r="AT31"/>
      <c r="AU31"/>
      <c r="AV31"/>
      <c r="AW31"/>
      <c r="AX31"/>
      <c r="AY31"/>
      <c r="AZ31"/>
    </row>
    <row r="32" spans="1:52" s="6" customFormat="1" ht="12.75">
      <c r="A32" s="115" t="s">
        <v>36</v>
      </c>
      <c r="B32" s="106">
        <v>27.03</v>
      </c>
      <c r="C32" s="107">
        <v>42</v>
      </c>
      <c r="D32" s="106">
        <v>24.42</v>
      </c>
      <c r="E32" s="107">
        <v>34</v>
      </c>
      <c r="F32" s="106">
        <v>40.15</v>
      </c>
      <c r="G32" s="107">
        <v>45</v>
      </c>
      <c r="H32" s="106">
        <v>16.5</v>
      </c>
      <c r="I32" s="107">
        <v>38</v>
      </c>
      <c r="J32" s="106">
        <v>34.09</v>
      </c>
      <c r="K32" s="107">
        <v>35</v>
      </c>
      <c r="L32" s="106"/>
      <c r="M32" s="107"/>
      <c r="N32" s="106"/>
      <c r="O32" s="108"/>
      <c r="P32" s="106">
        <v>66.24</v>
      </c>
      <c r="Q32" s="107">
        <v>30</v>
      </c>
      <c r="R32" s="106"/>
      <c r="S32" s="107"/>
      <c r="T32" s="109">
        <f>COUNT(B32:S32)/2</f>
        <v>6</v>
      </c>
      <c r="U32" s="11"/>
      <c r="V32" s="11"/>
      <c r="W32" s="11"/>
      <c r="X32" s="11"/>
      <c r="Y32" s="11"/>
      <c r="Z32" s="11"/>
      <c r="AA32" s="11"/>
      <c r="AB32" s="12"/>
      <c r="AC32" s="61" t="str">
        <f>A32</f>
        <v>Zsanelle McGrath</v>
      </c>
      <c r="AD32" s="62">
        <f>IF(ISBLANK(C32),"",ROUND((C$37-C32+1)/C$37*100,2))</f>
        <v>51.19</v>
      </c>
      <c r="AE32" s="62">
        <f>IF(ISBLANK(E32),"",ROUND((E$37-E32+1)/E$37*100,2))</f>
        <v>52.86</v>
      </c>
      <c r="AF32" s="62">
        <f>IF(ISBLANK(G32),"",ROUND((G$37-G32+1)/G$37*100,2))</f>
        <v>46.99</v>
      </c>
      <c r="AG32" s="62">
        <f>IF(ISBLANK(I32),"",ROUND((I$37-I32+1)/I$37*100,2))</f>
        <v>59.34</v>
      </c>
      <c r="AH32" s="62">
        <f>IF(ISBLANK(K32),"",ROUND((K$37-K32+1)/K$37*100,2))</f>
        <v>47.69</v>
      </c>
      <c r="AI32" s="62">
        <f>IF(ISBLANK(M32),"",ROUND((M$37-M32+1)/M$37*100,2))</f>
      </c>
      <c r="AJ32" s="3"/>
      <c r="AK32" s="62">
        <f>IF(ISBLANK(Q32),"",ROUND((Q$37-Q32+1)/Q$37*100,2))</f>
        <v>43.14</v>
      </c>
      <c r="AL32" s="63">
        <f>IF(ISBLANK(S32),"",ROUND((S$37-S32+1)/S$37*100,2))</f>
      </c>
      <c r="AM32" s="63">
        <f>SUM(AD32:AJ32)</f>
        <v>258.07</v>
      </c>
      <c r="AO32"/>
      <c r="AP32" t="e">
        <f>LARGE('Club Trophy'!#REF!,8)</f>
        <v>#REF!</v>
      </c>
      <c r="AQ32"/>
      <c r="AR32"/>
      <c r="AS32"/>
      <c r="AT32"/>
      <c r="AU32"/>
      <c r="AV32"/>
      <c r="AW32"/>
      <c r="AX32"/>
      <c r="AY32"/>
      <c r="AZ32"/>
    </row>
    <row r="33" spans="1:52" s="6" customFormat="1" ht="12.75">
      <c r="A33" s="105" t="s">
        <v>37</v>
      </c>
      <c r="B33" s="106">
        <v>29.04</v>
      </c>
      <c r="C33" s="107">
        <v>66</v>
      </c>
      <c r="D33" s="106">
        <v>27.48</v>
      </c>
      <c r="E33" s="107">
        <v>58</v>
      </c>
      <c r="F33" s="106">
        <v>46.32</v>
      </c>
      <c r="G33" s="107">
        <v>69</v>
      </c>
      <c r="H33" s="106">
        <v>19.32</v>
      </c>
      <c r="I33" s="107">
        <v>78</v>
      </c>
      <c r="J33" s="106"/>
      <c r="K33" s="107"/>
      <c r="L33" s="106"/>
      <c r="M33" s="107"/>
      <c r="N33" s="106"/>
      <c r="O33" s="108"/>
      <c r="P33" s="106"/>
      <c r="Q33" s="107"/>
      <c r="R33" s="106"/>
      <c r="S33" s="107"/>
      <c r="T33" s="109">
        <f>COUNT(B33:S33)/2</f>
        <v>4</v>
      </c>
      <c r="U33" s="11"/>
      <c r="V33" s="11"/>
      <c r="W33" s="11"/>
      <c r="X33" s="11"/>
      <c r="Y33" s="11"/>
      <c r="Z33" s="11"/>
      <c r="AA33" s="11"/>
      <c r="AB33" s="12"/>
      <c r="AC33" s="61" t="str">
        <f>A33</f>
        <v>Caitlin Harrison</v>
      </c>
      <c r="AD33" s="62">
        <f>IF(ISBLANK(C33),"",ROUND((C$37-C33+1)/C$37*100,2))</f>
        <v>22.62</v>
      </c>
      <c r="AE33" s="62">
        <f>IF(ISBLANK(E33),"",ROUND((E$37-E33+1)/E$37*100,2))</f>
        <v>18.57</v>
      </c>
      <c r="AF33" s="62">
        <f>IF(ISBLANK(G33),"",ROUND((G$37-G33+1)/G$37*100,2))</f>
        <v>18.07</v>
      </c>
      <c r="AG33" s="62">
        <f>IF(ISBLANK(I33),"",ROUND((I$37-I33+1)/I$37*100,2))</f>
        <v>15.38</v>
      </c>
      <c r="AH33" s="62">
        <f>IF(ISBLANK(K33),"",ROUND((K$37-K33+1)/K$37*100,2))</f>
      </c>
      <c r="AI33" s="62">
        <f>IF(ISBLANK(M33),"",ROUND((M$37-M33+1)/M$37*100,2))</f>
      </c>
      <c r="AJ33" s="3"/>
      <c r="AK33" s="62">
        <f>IF(ISBLANK(Q33),"",ROUND((Q$37-Q33+1)/Q$37*100,2))</f>
      </c>
      <c r="AL33" s="63">
        <f>IF(ISBLANK(S33),"",ROUND((S$37-S33+1)/S$37*100,2))</f>
      </c>
      <c r="AM33" s="63">
        <f>SUM(AD33:AJ33)</f>
        <v>74.64</v>
      </c>
      <c r="AO33"/>
      <c r="AP33" t="e">
        <f>LARGE('Club Trophy'!#REF!,8)</f>
        <v>#REF!</v>
      </c>
      <c r="AQ33"/>
      <c r="AR33"/>
      <c r="AS33"/>
      <c r="AT33"/>
      <c r="AU33"/>
      <c r="AV33"/>
      <c r="AW33"/>
      <c r="AX33"/>
      <c r="AY33"/>
      <c r="AZ33"/>
    </row>
    <row r="34" spans="1:53" ht="12.75">
      <c r="A34" s="110" t="s">
        <v>58</v>
      </c>
      <c r="B34" s="111"/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1"/>
      <c r="O34" s="112"/>
      <c r="P34" s="111"/>
      <c r="Q34" s="112"/>
      <c r="R34" s="111"/>
      <c r="S34" s="112"/>
      <c r="T34" s="114">
        <f>COUNT(B34:S34)/2</f>
        <v>0</v>
      </c>
      <c r="AB34" s="12"/>
      <c r="AC34" s="20" t="str">
        <f>A34</f>
        <v>Kate McGregor</v>
      </c>
      <c r="AD34" s="10">
        <f>IF(ISBLANK(C34),"",ROUND((C$37-C34+1)/C$37*100,2))</f>
      </c>
      <c r="AE34" s="62">
        <f>IF(ISBLANK(E34),"",ROUND((11-4+1)/11*100,2))</f>
      </c>
      <c r="AF34" s="10">
        <f>IF(ISBLANK(G34),"",ROUND((G$37-G34+1)/G$37*100,2))</f>
      </c>
      <c r="AG34" s="10">
        <f>IF(ISBLANK(I34),"",ROUND((9-5+1)/9*100,2))</f>
      </c>
      <c r="AH34" s="10">
        <f>IF(ISBLANK(K34),"",ROUND((9-6+1)/9*100,2))</f>
      </c>
      <c r="AI34" s="62">
        <f>IF(ISBLANK(M34),"",ROUND((M$37-M34+1)/M$37*100,2))</f>
      </c>
      <c r="AJ34"/>
      <c r="AK34" s="10">
        <f>IF(ISBLANK(Q34),"",ROUND((7-4+1)/7*100,2))</f>
      </c>
      <c r="AL34" s="63">
        <f>IF(ISBLANK(S34),"",ROUND((S$37-S34+1)/S$37*100,2))</f>
      </c>
      <c r="AM34" s="27">
        <f>SUM(AD34:AJ34)</f>
        <v>0</v>
      </c>
      <c r="AP34" t="e">
        <f>LARGE('Club Trophy'!#REF!,8)</f>
        <v>#REF!</v>
      </c>
      <c r="BA34" s="6"/>
    </row>
    <row r="35" spans="1:53" s="6" customFormat="1" ht="12.75">
      <c r="A35" s="20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69"/>
      <c r="U35" s="11"/>
      <c r="V35" s="11"/>
      <c r="W35" s="11"/>
      <c r="X35" s="11"/>
      <c r="Y35" s="11"/>
      <c r="Z35" s="11"/>
      <c r="AA35" s="11"/>
      <c r="AB35" s="12"/>
      <c r="AC35" s="20"/>
      <c r="AD35" s="10"/>
      <c r="AE35" s="10"/>
      <c r="AF35" s="10"/>
      <c r="AG35" s="10"/>
      <c r="AH35" s="10"/>
      <c r="AI35" s="10"/>
      <c r="AJ35" s="10"/>
      <c r="AK35" s="10"/>
      <c r="AL35" s="12"/>
      <c r="AM35" s="12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39" ht="12.75">
      <c r="A36" s="29" t="s">
        <v>29</v>
      </c>
      <c r="B36" s="84"/>
      <c r="C36" s="85">
        <f>COUNT(B30:B34)</f>
        <v>3</v>
      </c>
      <c r="D36" s="84"/>
      <c r="E36" s="85">
        <f>COUNT(D30:D34)</f>
        <v>3</v>
      </c>
      <c r="F36" s="84"/>
      <c r="G36" s="85">
        <f>COUNT(F30:F34)</f>
        <v>2</v>
      </c>
      <c r="H36" s="84"/>
      <c r="I36" s="85">
        <f>COUNT(H30:H34)</f>
        <v>3</v>
      </c>
      <c r="J36" s="84"/>
      <c r="K36" s="85">
        <f>COUNT(J30:J34)</f>
        <v>1</v>
      </c>
      <c r="L36" s="84"/>
      <c r="M36" s="85">
        <f>COUNT(L30:L34)</f>
        <v>0</v>
      </c>
      <c r="N36" s="84"/>
      <c r="O36" s="85">
        <f>COUNT(N30:N34)</f>
        <v>0</v>
      </c>
      <c r="P36" s="84"/>
      <c r="Q36" s="85">
        <f>COUNT(P30:P34)</f>
        <v>1</v>
      </c>
      <c r="R36" s="84"/>
      <c r="S36" s="85">
        <f>COUNT(R30:R34)</f>
        <v>0</v>
      </c>
      <c r="T36" s="71"/>
      <c r="U36" s="13"/>
      <c r="V36" s="13"/>
      <c r="W36" s="13"/>
      <c r="X36" s="13"/>
      <c r="Y36" s="13"/>
      <c r="Z36" s="13"/>
      <c r="AA36" s="13"/>
      <c r="AB36" s="30"/>
      <c r="AC36" s="60"/>
      <c r="AD36" s="13"/>
      <c r="AE36" s="13"/>
      <c r="AF36" s="13"/>
      <c r="AG36" s="13"/>
      <c r="AH36" s="13"/>
      <c r="AI36" s="13"/>
      <c r="AJ36" s="10"/>
      <c r="AK36" s="13"/>
      <c r="AL36" s="30"/>
      <c r="AM36" s="30"/>
    </row>
    <row r="37" spans="1:39" ht="12.75">
      <c r="A37" s="31" t="s">
        <v>30</v>
      </c>
      <c r="B37" s="35"/>
      <c r="C37" s="86">
        <v>84</v>
      </c>
      <c r="D37" s="36"/>
      <c r="E37" s="86">
        <v>70</v>
      </c>
      <c r="F37" s="35"/>
      <c r="G37" s="86">
        <v>83</v>
      </c>
      <c r="H37" s="36"/>
      <c r="I37" s="86">
        <v>91</v>
      </c>
      <c r="J37" s="36"/>
      <c r="K37" s="86">
        <v>65</v>
      </c>
      <c r="L37" s="35"/>
      <c r="M37" s="86"/>
      <c r="N37" s="36"/>
      <c r="O37" s="86"/>
      <c r="P37" s="36"/>
      <c r="Q37" s="86">
        <v>51</v>
      </c>
      <c r="R37" s="36"/>
      <c r="S37" s="86"/>
      <c r="T37" s="72"/>
      <c r="U37" s="13"/>
      <c r="V37" s="13"/>
      <c r="W37" s="13"/>
      <c r="X37" s="13"/>
      <c r="Y37" s="13"/>
      <c r="Z37" s="13"/>
      <c r="AA37" s="13"/>
      <c r="AB37" s="30"/>
      <c r="AC37" s="31"/>
      <c r="AD37" s="32"/>
      <c r="AE37" s="32"/>
      <c r="AF37" s="32"/>
      <c r="AG37" s="32"/>
      <c r="AH37" s="32"/>
      <c r="AI37" s="32"/>
      <c r="AJ37" s="14"/>
      <c r="AK37" s="32"/>
      <c r="AL37" s="33"/>
      <c r="AM37" s="33"/>
    </row>
    <row r="38" spans="1:39" ht="12.75">
      <c r="A38" s="13"/>
      <c r="B38" s="52"/>
      <c r="C38" s="52"/>
      <c r="E38" s="52"/>
      <c r="F38" s="52"/>
      <c r="G38" s="52"/>
      <c r="I38" s="52"/>
      <c r="K38" s="52"/>
      <c r="L38" s="52"/>
      <c r="M38" s="52"/>
      <c r="O38" s="52"/>
      <c r="Q38" s="52"/>
      <c r="S38" s="52"/>
      <c r="T38" s="8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0"/>
      <c r="AK38" s="13"/>
      <c r="AL38" s="13"/>
      <c r="AM38" s="13"/>
    </row>
    <row r="39" spans="1:39" ht="12.75">
      <c r="A39" s="48"/>
      <c r="B39" s="36"/>
      <c r="C39" s="88"/>
      <c r="D39" s="36"/>
      <c r="E39" s="88"/>
      <c r="F39" s="36"/>
      <c r="G39" s="88"/>
      <c r="H39" s="36"/>
      <c r="I39" s="88"/>
      <c r="J39" s="36"/>
      <c r="K39" s="88"/>
      <c r="L39" s="36"/>
      <c r="M39" s="88"/>
      <c r="N39" s="36"/>
      <c r="O39" s="88"/>
      <c r="P39" s="36"/>
      <c r="Q39" s="88"/>
      <c r="R39" s="36"/>
      <c r="S39" s="88"/>
      <c r="T39" s="46"/>
      <c r="AB39" s="11"/>
      <c r="AC39" s="11"/>
      <c r="AD39" s="10"/>
      <c r="AE39" s="10"/>
      <c r="AF39" s="10"/>
      <c r="AG39" s="10"/>
      <c r="AH39" s="10"/>
      <c r="AI39" s="10"/>
      <c r="AJ39" s="10"/>
      <c r="AK39" s="10"/>
      <c r="AL39" s="11"/>
      <c r="AM39" s="11"/>
    </row>
    <row r="40" spans="1:54" s="2" customFormat="1" ht="36" customHeight="1">
      <c r="A40" s="47"/>
      <c r="B40" s="49" t="s">
        <v>1</v>
      </c>
      <c r="C40" s="50"/>
      <c r="D40" s="49" t="s">
        <v>72</v>
      </c>
      <c r="E40" s="50"/>
      <c r="F40" s="49" t="s">
        <v>2</v>
      </c>
      <c r="G40" s="50"/>
      <c r="H40" s="49" t="s">
        <v>13</v>
      </c>
      <c r="I40" s="90"/>
      <c r="J40" s="49" t="s">
        <v>3</v>
      </c>
      <c r="K40" s="50"/>
      <c r="L40" s="49" t="s">
        <v>5</v>
      </c>
      <c r="M40" s="90"/>
      <c r="N40" s="80" t="s">
        <v>6</v>
      </c>
      <c r="O40" s="90"/>
      <c r="P40" s="49" t="s">
        <v>38</v>
      </c>
      <c r="Q40" s="90"/>
      <c r="R40" s="49" t="s">
        <v>39</v>
      </c>
      <c r="S40" s="50"/>
      <c r="T40" s="73" t="s">
        <v>79</v>
      </c>
      <c r="U40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94"/>
      <c r="AK40" s="57"/>
      <c r="AL40" s="57"/>
      <c r="AM40" s="57"/>
      <c r="AO40"/>
      <c r="AP40"/>
      <c r="AQ40"/>
      <c r="AR40"/>
      <c r="AS40"/>
      <c r="AT40"/>
      <c r="AU40"/>
      <c r="AV40"/>
      <c r="AW40"/>
      <c r="AX40"/>
      <c r="AY40"/>
      <c r="AZ40"/>
      <c r="BB40" s="2" t="s">
        <v>40</v>
      </c>
    </row>
    <row r="41" spans="1:52" s="4" customFormat="1" ht="12.75">
      <c r="A41" s="67"/>
      <c r="B41" s="8" t="str">
        <f>B4</f>
        <v>15.4.00</v>
      </c>
      <c r="C41" s="9"/>
      <c r="D41" s="8" t="str">
        <f>D4</f>
        <v>6.5.00</v>
      </c>
      <c r="E41" s="9"/>
      <c r="F41" s="8" t="str">
        <f>F4</f>
        <v>20.5.00</v>
      </c>
      <c r="G41" s="9"/>
      <c r="H41" s="8" t="str">
        <f>H4</f>
        <v>3.6.00</v>
      </c>
      <c r="I41" s="9"/>
      <c r="J41" s="8" t="str">
        <f>J4</f>
        <v>8.7.00</v>
      </c>
      <c r="K41" s="9"/>
      <c r="L41" s="8" t="str">
        <f>L4</f>
        <v>22.7.00</v>
      </c>
      <c r="M41" s="9"/>
      <c r="N41" s="8" t="str">
        <f>N4</f>
        <v>26.8.00</v>
      </c>
      <c r="O41" s="9"/>
      <c r="P41" s="8" t="str">
        <f>P4</f>
        <v>10.9.00</v>
      </c>
      <c r="Q41" s="9"/>
      <c r="R41" s="8" t="str">
        <f>R4</f>
        <v>24.9.00</v>
      </c>
      <c r="S41" s="9"/>
      <c r="T41" s="74"/>
      <c r="U41"/>
      <c r="V41" s="56"/>
      <c r="W41" s="56"/>
      <c r="X41" s="56"/>
      <c r="Y41" s="56"/>
      <c r="Z41" s="56"/>
      <c r="AA41" s="56"/>
      <c r="AB41" s="57"/>
      <c r="AC41" s="57"/>
      <c r="AD41" s="57"/>
      <c r="AE41" s="57"/>
      <c r="AF41" s="57"/>
      <c r="AG41" s="57"/>
      <c r="AH41" s="57"/>
      <c r="AI41" s="57"/>
      <c r="AJ41" s="94"/>
      <c r="AK41" s="57"/>
      <c r="AL41" s="57"/>
      <c r="AM41" s="57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39" ht="12.75">
      <c r="A42" s="81" t="s">
        <v>41</v>
      </c>
      <c r="B42" s="65"/>
      <c r="C42" s="66" t="s">
        <v>16</v>
      </c>
      <c r="D42" s="65" t="s">
        <v>42</v>
      </c>
      <c r="E42" s="66" t="s">
        <v>16</v>
      </c>
      <c r="F42" s="65" t="s">
        <v>42</v>
      </c>
      <c r="G42" s="66" t="s">
        <v>16</v>
      </c>
      <c r="H42" s="65" t="s">
        <v>42</v>
      </c>
      <c r="I42" s="66" t="s">
        <v>16</v>
      </c>
      <c r="J42" s="65" t="s">
        <v>42</v>
      </c>
      <c r="K42" s="66" t="s">
        <v>16</v>
      </c>
      <c r="L42" s="65"/>
      <c r="M42" s="66" t="s">
        <v>16</v>
      </c>
      <c r="N42" s="65" t="s">
        <v>42</v>
      </c>
      <c r="O42" s="66" t="s">
        <v>16</v>
      </c>
      <c r="P42" s="65" t="s">
        <v>42</v>
      </c>
      <c r="Q42" s="66" t="s">
        <v>16</v>
      </c>
      <c r="R42" s="65" t="s">
        <v>42</v>
      </c>
      <c r="S42" s="66" t="s">
        <v>16</v>
      </c>
      <c r="T42" s="74" t="s">
        <v>16</v>
      </c>
      <c r="U42"/>
      <c r="V42" s="56"/>
      <c r="W42" s="56"/>
      <c r="X42" s="56"/>
      <c r="Y42" s="56"/>
      <c r="Z42" s="56"/>
      <c r="AA42" s="56"/>
      <c r="AB42" s="11"/>
      <c r="AC42" s="28"/>
      <c r="AD42" s="10"/>
      <c r="AE42" s="10"/>
      <c r="AF42" s="10"/>
      <c r="AG42" s="10"/>
      <c r="AH42" s="10"/>
      <c r="AI42" s="10"/>
      <c r="AJ42" s="10"/>
      <c r="AK42" s="10"/>
      <c r="AL42" s="11"/>
      <c r="AM42" s="11"/>
    </row>
    <row r="43" spans="1:39" ht="12.75">
      <c r="A43" s="22" t="s">
        <v>18</v>
      </c>
      <c r="B43" s="8"/>
      <c r="C43" s="9"/>
      <c r="E43" s="9"/>
      <c r="F43" s="8"/>
      <c r="G43" s="9"/>
      <c r="I43" s="9"/>
      <c r="K43" s="9"/>
      <c r="L43" s="8"/>
      <c r="M43" s="9"/>
      <c r="O43" s="9"/>
      <c r="Q43" s="9"/>
      <c r="S43" s="9"/>
      <c r="T43" s="75"/>
      <c r="U43"/>
      <c r="AB43" s="11"/>
      <c r="AC43" s="25"/>
      <c r="AD43" s="10"/>
      <c r="AE43" s="10"/>
      <c r="AF43" s="10"/>
      <c r="AG43" s="10"/>
      <c r="AH43" s="10"/>
      <c r="AI43" s="10"/>
      <c r="AJ43" s="10"/>
      <c r="AK43" s="10"/>
      <c r="AL43" s="11"/>
      <c r="AM43" s="11"/>
    </row>
    <row r="44" spans="1:39" ht="12.75">
      <c r="A44" s="116" t="s">
        <v>68</v>
      </c>
      <c r="B44" s="117"/>
      <c r="C44" s="118">
        <v>2</v>
      </c>
      <c r="D44" s="117"/>
      <c r="E44" s="118"/>
      <c r="F44" s="117"/>
      <c r="G44" s="118"/>
      <c r="H44" s="117"/>
      <c r="I44" s="118"/>
      <c r="J44" s="117"/>
      <c r="K44" s="118">
        <v>2</v>
      </c>
      <c r="L44" s="117"/>
      <c r="M44" s="118">
        <v>3</v>
      </c>
      <c r="N44" s="117"/>
      <c r="O44" s="118">
        <v>4</v>
      </c>
      <c r="P44" s="117"/>
      <c r="Q44" s="118"/>
      <c r="R44" s="117"/>
      <c r="S44" s="102"/>
      <c r="T44" s="119"/>
      <c r="U44"/>
      <c r="AB44" s="11"/>
      <c r="AC44" s="26"/>
      <c r="AD44" s="10"/>
      <c r="AE44" s="10"/>
      <c r="AF44" s="10"/>
      <c r="AG44" s="10"/>
      <c r="AH44" s="10"/>
      <c r="AI44" s="10"/>
      <c r="AJ44" s="10"/>
      <c r="AK44" s="10"/>
      <c r="AL44" s="11"/>
      <c r="AM44" s="11"/>
    </row>
    <row r="45" spans="1:39" ht="12.75">
      <c r="A45" s="120" t="s">
        <v>69</v>
      </c>
      <c r="B45" s="121"/>
      <c r="C45" s="122"/>
      <c r="D45" s="121"/>
      <c r="E45" s="122"/>
      <c r="F45" s="121"/>
      <c r="G45" s="122"/>
      <c r="H45" s="121"/>
      <c r="I45" s="122"/>
      <c r="J45" s="121"/>
      <c r="K45" s="122"/>
      <c r="L45" s="121"/>
      <c r="M45" s="122">
        <v>5</v>
      </c>
      <c r="N45" s="121"/>
      <c r="O45" s="122"/>
      <c r="P45" s="121"/>
      <c r="Q45" s="122"/>
      <c r="R45" s="121"/>
      <c r="S45" s="112"/>
      <c r="T45" s="123"/>
      <c r="U45"/>
      <c r="AB45" s="11"/>
      <c r="AC45" s="26"/>
      <c r="AD45" s="10"/>
      <c r="AE45" s="10"/>
      <c r="AF45" s="10"/>
      <c r="AG45" s="10"/>
      <c r="AH45" s="10"/>
      <c r="AI45" s="10"/>
      <c r="AJ45" s="10"/>
      <c r="AK45" s="10"/>
      <c r="AL45" s="11"/>
      <c r="AM45" s="11"/>
    </row>
    <row r="46" spans="1:39" ht="12.75">
      <c r="A46" s="23"/>
      <c r="B46" s="52"/>
      <c r="C46" s="53"/>
      <c r="D46" s="52"/>
      <c r="E46" s="53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9"/>
      <c r="T46" s="75"/>
      <c r="U46"/>
      <c r="AB46" s="11"/>
      <c r="AC46" s="25"/>
      <c r="AD46" s="10"/>
      <c r="AE46" s="10"/>
      <c r="AF46" s="10"/>
      <c r="AG46" s="10"/>
      <c r="AH46" s="10"/>
      <c r="AI46" s="10"/>
      <c r="AJ46" s="10"/>
      <c r="AK46" s="10"/>
      <c r="AL46" s="11"/>
      <c r="AM46" s="11"/>
    </row>
    <row r="47" spans="1:39" ht="12.75">
      <c r="A47" s="22" t="s">
        <v>34</v>
      </c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9"/>
      <c r="T47" s="75"/>
      <c r="U47"/>
      <c r="AB47" s="11"/>
      <c r="AC47" s="11"/>
      <c r="AD47" s="10"/>
      <c r="AE47" s="10"/>
      <c r="AF47" s="10"/>
      <c r="AG47" s="10"/>
      <c r="AH47" s="10"/>
      <c r="AI47" s="10"/>
      <c r="AJ47" s="10"/>
      <c r="AK47" s="10"/>
      <c r="AL47" s="11"/>
      <c r="AM47" s="11"/>
    </row>
    <row r="48" spans="1:39" ht="12.75">
      <c r="A48" s="20" t="s">
        <v>43</v>
      </c>
      <c r="B48" s="52"/>
      <c r="C48" s="53"/>
      <c r="D48" s="52"/>
      <c r="E48" s="53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9"/>
      <c r="T48" s="75"/>
      <c r="U48"/>
      <c r="AB48" s="11"/>
      <c r="AC48" s="11"/>
      <c r="AD48" s="10"/>
      <c r="AE48" s="10"/>
      <c r="AF48" s="10"/>
      <c r="AG48" s="10"/>
      <c r="AH48" s="10"/>
      <c r="AI48" s="10"/>
      <c r="AJ48" s="10"/>
      <c r="AK48" s="10"/>
      <c r="AL48" s="11"/>
      <c r="AM48" s="11"/>
    </row>
    <row r="49" spans="1:39" ht="12.75">
      <c r="A49" s="20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9"/>
      <c r="T49" s="75"/>
      <c r="U49"/>
      <c r="AB49" s="11"/>
      <c r="AC49" s="11"/>
      <c r="AD49" s="10"/>
      <c r="AE49" s="10"/>
      <c r="AF49" s="10"/>
      <c r="AG49" s="10"/>
      <c r="AH49" s="10"/>
      <c r="AI49" s="10"/>
      <c r="AJ49" s="10"/>
      <c r="AK49" s="10"/>
      <c r="AL49" s="11"/>
      <c r="AM49" s="11"/>
    </row>
    <row r="50" spans="1:39" ht="12.75">
      <c r="A50" s="21"/>
      <c r="B50" s="36"/>
      <c r="C50" s="87"/>
      <c r="D50" s="36"/>
      <c r="E50" s="87"/>
      <c r="F50" s="36"/>
      <c r="G50" s="87"/>
      <c r="H50" s="36"/>
      <c r="I50" s="87"/>
      <c r="J50" s="36"/>
      <c r="K50" s="87"/>
      <c r="L50" s="36"/>
      <c r="M50" s="87"/>
      <c r="N50" s="36"/>
      <c r="O50" s="87"/>
      <c r="P50" s="36"/>
      <c r="Q50" s="87"/>
      <c r="R50" s="35"/>
      <c r="S50" s="87"/>
      <c r="T50" s="77"/>
      <c r="U50"/>
      <c r="AL50" s="11"/>
      <c r="AM50" s="11"/>
    </row>
    <row r="67" ht="12" customHeight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17" ht="12.75">
      <c r="AJ117"/>
    </row>
    <row r="118" ht="12.75">
      <c r="AJ118"/>
    </row>
    <row r="119" ht="12.75">
      <c r="AJ119"/>
    </row>
    <row r="120" ht="12.75">
      <c r="AJ120"/>
    </row>
    <row r="121" ht="12.75">
      <c r="AJ121"/>
    </row>
    <row r="122" ht="12.75">
      <c r="AJ122"/>
    </row>
    <row r="123" ht="12.75">
      <c r="AJ123"/>
    </row>
    <row r="124" ht="12.75">
      <c r="AJ124"/>
    </row>
    <row r="125" ht="12.75">
      <c r="AJ125"/>
    </row>
    <row r="126" ht="12.75">
      <c r="AJ126"/>
    </row>
    <row r="127" ht="12.75">
      <c r="AJ127"/>
    </row>
    <row r="128" ht="12.75">
      <c r="AJ128"/>
    </row>
    <row r="129" ht="12.75">
      <c r="AJ129"/>
    </row>
    <row r="130" ht="12.75">
      <c r="AJ130"/>
    </row>
    <row r="131" ht="12.75">
      <c r="AJ131"/>
    </row>
    <row r="132" ht="12.75">
      <c r="AJ132"/>
    </row>
    <row r="133" ht="12.75">
      <c r="AJ133"/>
    </row>
    <row r="134" ht="12.75">
      <c r="AJ134"/>
    </row>
    <row r="135" ht="12.75">
      <c r="AJ135"/>
    </row>
    <row r="136" ht="12.75">
      <c r="AJ136"/>
    </row>
    <row r="137" ht="12.75">
      <c r="AJ137"/>
    </row>
    <row r="138" spans="36:40" ht="12.75">
      <c r="AJ138"/>
      <c r="AN138" s="59"/>
    </row>
    <row r="139" spans="36:40" ht="12.75">
      <c r="AJ139"/>
      <c r="AN139" s="58"/>
    </row>
    <row r="140" ht="12.75">
      <c r="AJ140"/>
    </row>
    <row r="141" ht="12.75">
      <c r="AJ141"/>
    </row>
    <row r="142" ht="12.75">
      <c r="AJ142"/>
    </row>
    <row r="143" ht="12.75">
      <c r="AJ143"/>
    </row>
    <row r="144" ht="12.75">
      <c r="AJ144"/>
    </row>
    <row r="145" ht="12.75">
      <c r="AJ145"/>
    </row>
    <row r="146" ht="12.75">
      <c r="AJ146"/>
    </row>
    <row r="147" ht="12.75">
      <c r="AJ147"/>
    </row>
    <row r="148" ht="12.75">
      <c r="AJ148"/>
    </row>
    <row r="149" ht="12.75">
      <c r="AJ149"/>
    </row>
    <row r="150" ht="12.75">
      <c r="AJ150"/>
    </row>
    <row r="151" ht="12.75">
      <c r="AJ151"/>
    </row>
    <row r="152" ht="12.75">
      <c r="AJ152"/>
    </row>
    <row r="153" ht="12.75">
      <c r="AJ153"/>
    </row>
    <row r="154" ht="12.75">
      <c r="AJ154"/>
    </row>
    <row r="155" ht="12.75">
      <c r="AJ155"/>
    </row>
    <row r="156" ht="12.75">
      <c r="AJ156"/>
    </row>
    <row r="157" ht="12.75">
      <c r="AJ157"/>
    </row>
    <row r="158" ht="12.75">
      <c r="AJ158"/>
    </row>
    <row r="159" ht="12.75">
      <c r="AJ159"/>
    </row>
    <row r="160" ht="12.75">
      <c r="AJ160"/>
    </row>
    <row r="161" ht="12.75">
      <c r="AJ161"/>
    </row>
    <row r="162" ht="12.75">
      <c r="AJ162"/>
    </row>
    <row r="163" ht="12.75">
      <c r="AJ163"/>
    </row>
    <row r="164" ht="12.75">
      <c r="AJ164"/>
    </row>
  </sheetData>
  <sheetProtection/>
  <printOptions/>
  <pageMargins left="0.83" right="0.24" top="0.47" bottom="0.3" header="0.36" footer="0.3"/>
  <pageSetup fitToHeight="1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4" max="4" width="9.421875" style="0" customWidth="1"/>
    <col min="5" max="5" width="10.140625" style="0" customWidth="1"/>
    <col min="13" max="13" width="10.421875" style="0" customWidth="1"/>
  </cols>
  <sheetData>
    <row r="1" spans="1:8" ht="30">
      <c r="A1" s="82" t="s">
        <v>84</v>
      </c>
      <c r="B1" s="1"/>
      <c r="C1" s="3"/>
      <c r="D1" s="3"/>
      <c r="H1" s="3"/>
    </row>
    <row r="2" spans="3:8" ht="12.75">
      <c r="C2" s="3"/>
      <c r="D2" s="3"/>
      <c r="H2" s="3"/>
    </row>
    <row r="3" spans="1:13" ht="39">
      <c r="A3" s="41"/>
      <c r="B3" s="78"/>
      <c r="C3" s="97" t="s">
        <v>1</v>
      </c>
      <c r="D3" s="97" t="s">
        <v>72</v>
      </c>
      <c r="E3" s="98" t="s">
        <v>59</v>
      </c>
      <c r="F3" s="97" t="s">
        <v>13</v>
      </c>
      <c r="G3" s="97" t="s">
        <v>10</v>
      </c>
      <c r="H3" s="98" t="s">
        <v>5</v>
      </c>
      <c r="I3" s="97" t="s">
        <v>12</v>
      </c>
      <c r="J3" s="97" t="s">
        <v>11</v>
      </c>
      <c r="K3" s="7" t="s">
        <v>8</v>
      </c>
      <c r="L3" s="7" t="s">
        <v>14</v>
      </c>
      <c r="M3" s="7" t="s">
        <v>44</v>
      </c>
    </row>
    <row r="4" spans="1:13" ht="12.75">
      <c r="A4" s="42"/>
      <c r="B4" s="9"/>
      <c r="C4" s="8" t="s">
        <v>66</v>
      </c>
      <c r="D4" s="8" t="s">
        <v>70</v>
      </c>
      <c r="E4" s="8" t="s">
        <v>71</v>
      </c>
      <c r="F4" s="8" t="s">
        <v>73</v>
      </c>
      <c r="G4" s="8" t="s">
        <v>80</v>
      </c>
      <c r="H4" s="8" t="s">
        <v>74</v>
      </c>
      <c r="I4" s="8" t="s">
        <v>82</v>
      </c>
      <c r="J4" s="8" t="s">
        <v>75</v>
      </c>
      <c r="K4" s="9" t="s">
        <v>83</v>
      </c>
      <c r="L4" s="9"/>
      <c r="M4" s="9"/>
    </row>
    <row r="5" spans="1:13" ht="12.75">
      <c r="A5" s="42"/>
      <c r="B5" s="9"/>
      <c r="C5" s="8"/>
      <c r="D5" s="8"/>
      <c r="E5" s="8"/>
      <c r="F5" s="8"/>
      <c r="G5" s="8"/>
      <c r="H5" s="8"/>
      <c r="I5" s="8"/>
      <c r="J5" s="8"/>
      <c r="K5" s="75"/>
      <c r="L5" s="9"/>
      <c r="M5" s="9"/>
    </row>
    <row r="6" spans="1:13" ht="12.75">
      <c r="A6" s="43"/>
      <c r="B6" s="40"/>
      <c r="C6" s="16"/>
      <c r="D6" s="16"/>
      <c r="E6" s="16"/>
      <c r="F6" s="16"/>
      <c r="G6" s="16"/>
      <c r="H6" s="16"/>
      <c r="I6" s="16"/>
      <c r="J6" s="16"/>
      <c r="K6" s="79"/>
      <c r="L6" s="79"/>
      <c r="M6" s="79"/>
    </row>
    <row r="7" spans="1:13" ht="12.75">
      <c r="A7" s="44">
        <v>1</v>
      </c>
      <c r="B7" s="12" t="s">
        <v>19</v>
      </c>
      <c r="C7" s="10">
        <v>90.06</v>
      </c>
      <c r="D7" s="10" t="s">
        <v>45</v>
      </c>
      <c r="E7" s="10" t="s">
        <v>45</v>
      </c>
      <c r="F7" s="10" t="s">
        <v>45</v>
      </c>
      <c r="G7" s="10">
        <v>80.87</v>
      </c>
      <c r="H7" s="3">
        <v>86.68</v>
      </c>
      <c r="I7" s="10">
        <v>90.26666666666667</v>
      </c>
      <c r="J7" s="10">
        <v>94.06</v>
      </c>
      <c r="K7" s="27" t="s">
        <v>45</v>
      </c>
      <c r="L7" s="27">
        <v>347.87666666666667</v>
      </c>
      <c r="M7" s="27">
        <f>L7</f>
        <v>347.87666666666667</v>
      </c>
    </row>
    <row r="8" spans="1:13" ht="12.75">
      <c r="A8" s="44">
        <f aca="true" t="shared" si="0" ref="A8:A28">1+A7</f>
        <v>2</v>
      </c>
      <c r="B8" s="12" t="s">
        <v>36</v>
      </c>
      <c r="C8" s="10">
        <v>51.19</v>
      </c>
      <c r="D8" s="10">
        <v>52.86</v>
      </c>
      <c r="E8" s="10">
        <v>46.99</v>
      </c>
      <c r="F8" s="10">
        <v>59.34</v>
      </c>
      <c r="G8" s="10">
        <v>47.69</v>
      </c>
      <c r="H8" s="3" t="s">
        <v>45</v>
      </c>
      <c r="I8" s="10"/>
      <c r="J8" s="10">
        <v>43.14</v>
      </c>
      <c r="K8" s="27" t="s">
        <v>45</v>
      </c>
      <c r="L8" s="27">
        <v>258.07</v>
      </c>
      <c r="M8" s="27">
        <f aca="true" t="shared" si="1" ref="M8:M24">L8</f>
        <v>258.07</v>
      </c>
    </row>
    <row r="9" spans="1:13" ht="12.75">
      <c r="A9" s="44">
        <f t="shared" si="0"/>
        <v>3</v>
      </c>
      <c r="B9" s="12" t="s">
        <v>20</v>
      </c>
      <c r="C9" s="10">
        <v>82.1</v>
      </c>
      <c r="D9" s="10" t="s">
        <v>45</v>
      </c>
      <c r="E9" s="10" t="s">
        <v>45</v>
      </c>
      <c r="F9" s="10" t="s">
        <v>45</v>
      </c>
      <c r="G9" s="10">
        <v>72.2</v>
      </c>
      <c r="H9" s="3">
        <v>78.14</v>
      </c>
      <c r="I9" s="10"/>
      <c r="J9" s="10">
        <v>75.34</v>
      </c>
      <c r="K9" s="27" t="s">
        <v>45</v>
      </c>
      <c r="L9" s="27">
        <v>232.44</v>
      </c>
      <c r="M9" s="27">
        <f t="shared" si="1"/>
        <v>232.44</v>
      </c>
    </row>
    <row r="10" spans="1:13" ht="12.75">
      <c r="A10" s="44">
        <f t="shared" si="0"/>
        <v>4</v>
      </c>
      <c r="B10" s="12" t="s">
        <v>56</v>
      </c>
      <c r="C10" s="10">
        <v>73.58</v>
      </c>
      <c r="D10" s="10" t="s">
        <v>45</v>
      </c>
      <c r="E10" s="10" t="s">
        <v>45</v>
      </c>
      <c r="F10" s="10">
        <v>62.7</v>
      </c>
      <c r="G10" s="10">
        <v>77.26</v>
      </c>
      <c r="H10" s="3" t="s">
        <v>45</v>
      </c>
      <c r="I10" s="10"/>
      <c r="J10" s="10" t="s">
        <v>45</v>
      </c>
      <c r="K10" s="27" t="s">
        <v>45</v>
      </c>
      <c r="L10" s="27">
        <v>213.54</v>
      </c>
      <c r="M10" s="27">
        <f t="shared" si="1"/>
        <v>213.54</v>
      </c>
    </row>
    <row r="11" spans="1:13" ht="12.75">
      <c r="A11" s="44">
        <f t="shared" si="0"/>
        <v>5</v>
      </c>
      <c r="B11" s="12" t="s">
        <v>61</v>
      </c>
      <c r="C11" s="10" t="s">
        <v>45</v>
      </c>
      <c r="D11" s="10" t="s">
        <v>45</v>
      </c>
      <c r="E11" s="10">
        <v>54.97</v>
      </c>
      <c r="F11" s="10">
        <v>58.2</v>
      </c>
      <c r="G11" s="10">
        <v>37.91</v>
      </c>
      <c r="H11" s="3">
        <v>57.04</v>
      </c>
      <c r="I11" s="10"/>
      <c r="J11" s="10">
        <v>16.44</v>
      </c>
      <c r="K11" s="27">
        <v>52.47</v>
      </c>
      <c r="L11" s="27">
        <v>208.12</v>
      </c>
      <c r="M11" s="27">
        <f t="shared" si="1"/>
        <v>208.12</v>
      </c>
    </row>
    <row r="12" spans="1:13" ht="12.75">
      <c r="A12" s="44">
        <f t="shared" si="0"/>
        <v>6</v>
      </c>
      <c r="B12" s="12" t="s">
        <v>23</v>
      </c>
      <c r="C12" s="10" t="s">
        <v>45</v>
      </c>
      <c r="D12" s="10">
        <v>56.13</v>
      </c>
      <c r="E12" s="10" t="s">
        <v>45</v>
      </c>
      <c r="F12" s="10">
        <v>32.79</v>
      </c>
      <c r="G12" s="10">
        <v>23.83</v>
      </c>
      <c r="H12" s="3">
        <v>27.39</v>
      </c>
      <c r="I12" s="10">
        <v>42.42666666666667</v>
      </c>
      <c r="J12" s="10">
        <v>38.36</v>
      </c>
      <c r="K12" s="27" t="s">
        <v>45</v>
      </c>
      <c r="L12" s="27">
        <v>182.56666666666666</v>
      </c>
      <c r="M12" s="27">
        <f t="shared" si="1"/>
        <v>182.56666666666666</v>
      </c>
    </row>
    <row r="13" spans="1:13" ht="12.75">
      <c r="A13" s="44">
        <f t="shared" si="0"/>
        <v>7</v>
      </c>
      <c r="B13" s="12" t="s">
        <v>67</v>
      </c>
      <c r="C13" s="10">
        <v>33.24</v>
      </c>
      <c r="D13" s="10">
        <v>57.67</v>
      </c>
      <c r="E13" s="10" t="s">
        <v>45</v>
      </c>
      <c r="F13" s="10" t="s">
        <v>45</v>
      </c>
      <c r="G13" s="10" t="s">
        <v>45</v>
      </c>
      <c r="H13" s="3">
        <v>42.96</v>
      </c>
      <c r="I13" s="10">
        <v>44.623333333333335</v>
      </c>
      <c r="J13" s="10" t="s">
        <v>45</v>
      </c>
      <c r="K13" s="27" t="s">
        <v>45</v>
      </c>
      <c r="L13" s="27">
        <v>178.49333333333334</v>
      </c>
      <c r="M13" s="27">
        <f t="shared" si="1"/>
        <v>178.49333333333334</v>
      </c>
    </row>
    <row r="14" spans="1:13" ht="12.75">
      <c r="A14" s="44">
        <f t="shared" si="0"/>
        <v>8</v>
      </c>
      <c r="B14" s="12" t="s">
        <v>22</v>
      </c>
      <c r="C14" s="10" t="s">
        <v>45</v>
      </c>
      <c r="D14" s="10">
        <v>69.63</v>
      </c>
      <c r="E14" s="10" t="s">
        <v>45</v>
      </c>
      <c r="F14" s="10" t="s">
        <v>45</v>
      </c>
      <c r="G14" s="10" t="s">
        <v>45</v>
      </c>
      <c r="H14" s="3">
        <v>47.99</v>
      </c>
      <c r="I14" s="10">
        <v>58.81</v>
      </c>
      <c r="J14" s="10" t="s">
        <v>45</v>
      </c>
      <c r="K14" s="27" t="s">
        <v>45</v>
      </c>
      <c r="L14" s="27">
        <v>176.43</v>
      </c>
      <c r="M14" s="27">
        <f t="shared" si="1"/>
        <v>176.43</v>
      </c>
    </row>
    <row r="15" spans="1:13" ht="12.75">
      <c r="A15" s="44">
        <f t="shared" si="0"/>
        <v>9</v>
      </c>
      <c r="B15" s="12" t="s">
        <v>21</v>
      </c>
      <c r="C15" s="10">
        <v>76.7</v>
      </c>
      <c r="D15" s="10">
        <v>88.65</v>
      </c>
      <c r="E15" s="10" t="s">
        <v>45</v>
      </c>
      <c r="F15" s="10" t="s">
        <v>45</v>
      </c>
      <c r="G15" s="10" t="s">
        <v>45</v>
      </c>
      <c r="H15" s="3" t="s">
        <v>45</v>
      </c>
      <c r="I15" s="10"/>
      <c r="J15" s="10" t="s">
        <v>45</v>
      </c>
      <c r="K15" s="27" t="s">
        <v>45</v>
      </c>
      <c r="L15" s="27">
        <v>165.35</v>
      </c>
      <c r="M15" s="27">
        <f t="shared" si="1"/>
        <v>165.35</v>
      </c>
    </row>
    <row r="16" spans="1:13" ht="12.75">
      <c r="A16" s="44">
        <f t="shared" si="0"/>
        <v>10</v>
      </c>
      <c r="B16" s="12" t="s">
        <v>35</v>
      </c>
      <c r="C16" s="10">
        <v>14.29</v>
      </c>
      <c r="D16" s="10">
        <v>47.14</v>
      </c>
      <c r="E16" s="10" t="s">
        <v>45</v>
      </c>
      <c r="F16" s="10">
        <v>68.13</v>
      </c>
      <c r="G16" s="10" t="s">
        <v>45</v>
      </c>
      <c r="H16" s="3" t="s">
        <v>45</v>
      </c>
      <c r="I16" s="10"/>
      <c r="J16" s="10" t="s">
        <v>45</v>
      </c>
      <c r="K16" s="27" t="s">
        <v>45</v>
      </c>
      <c r="L16" s="27">
        <v>129.56</v>
      </c>
      <c r="M16" s="27">
        <f t="shared" si="1"/>
        <v>129.56</v>
      </c>
    </row>
    <row r="17" spans="1:13" ht="12.75">
      <c r="A17" s="44">
        <f t="shared" si="0"/>
        <v>11</v>
      </c>
      <c r="B17" s="12" t="s">
        <v>24</v>
      </c>
      <c r="C17" s="10" t="s">
        <v>45</v>
      </c>
      <c r="D17" s="10" t="s">
        <v>45</v>
      </c>
      <c r="E17" s="10" t="s">
        <v>45</v>
      </c>
      <c r="F17" s="10" t="s">
        <v>45</v>
      </c>
      <c r="G17" s="10">
        <v>35.38</v>
      </c>
      <c r="H17" s="3">
        <v>29.15</v>
      </c>
      <c r="I17" s="10">
        <v>28.51</v>
      </c>
      <c r="J17" s="10">
        <v>21</v>
      </c>
      <c r="K17" s="27" t="s">
        <v>45</v>
      </c>
      <c r="L17" s="27">
        <v>93.04</v>
      </c>
      <c r="M17" s="27">
        <f t="shared" si="1"/>
        <v>93.04</v>
      </c>
    </row>
    <row r="18" spans="1:13" ht="12.75">
      <c r="A18" s="44">
        <f t="shared" si="0"/>
        <v>12</v>
      </c>
      <c r="B18" s="12" t="s">
        <v>37</v>
      </c>
      <c r="C18" s="10">
        <v>22.62</v>
      </c>
      <c r="D18" s="10">
        <v>18.57</v>
      </c>
      <c r="E18" s="10">
        <v>18.07</v>
      </c>
      <c r="F18" s="10">
        <v>15.38</v>
      </c>
      <c r="G18" s="10" t="s">
        <v>45</v>
      </c>
      <c r="H18" s="3" t="s">
        <v>45</v>
      </c>
      <c r="I18" s="10"/>
      <c r="J18" s="10" t="s">
        <v>45</v>
      </c>
      <c r="K18" s="27" t="s">
        <v>45</v>
      </c>
      <c r="L18" s="27">
        <v>74.64</v>
      </c>
      <c r="M18" s="27">
        <f t="shared" si="1"/>
        <v>74.64</v>
      </c>
    </row>
    <row r="19" spans="1:13" ht="12.75">
      <c r="A19" s="44">
        <f t="shared" si="0"/>
        <v>13</v>
      </c>
      <c r="B19" s="12" t="s">
        <v>25</v>
      </c>
      <c r="C19" s="10" t="s">
        <v>45</v>
      </c>
      <c r="D19" s="10" t="s">
        <v>45</v>
      </c>
      <c r="E19" s="10" t="s">
        <v>45</v>
      </c>
      <c r="F19" s="10" t="s">
        <v>45</v>
      </c>
      <c r="G19" s="10" t="s">
        <v>45</v>
      </c>
      <c r="H19" s="3">
        <v>64.07</v>
      </c>
      <c r="I19" s="10"/>
      <c r="J19" s="10" t="s">
        <v>45</v>
      </c>
      <c r="K19" s="27" t="s">
        <v>45</v>
      </c>
      <c r="L19" s="27">
        <v>64.07</v>
      </c>
      <c r="M19" s="27">
        <f t="shared" si="1"/>
        <v>64.07</v>
      </c>
    </row>
    <row r="20" spans="1:13" ht="12.75">
      <c r="A20" s="44">
        <f t="shared" si="0"/>
        <v>14</v>
      </c>
      <c r="B20" s="12" t="s">
        <v>57</v>
      </c>
      <c r="C20" s="10" t="s">
        <v>45</v>
      </c>
      <c r="D20" s="10" t="s">
        <v>45</v>
      </c>
      <c r="E20" s="10" t="s">
        <v>45</v>
      </c>
      <c r="F20" s="10" t="s">
        <v>45</v>
      </c>
      <c r="G20" s="10" t="s">
        <v>45</v>
      </c>
      <c r="H20" s="3">
        <v>11.81</v>
      </c>
      <c r="I20" s="10"/>
      <c r="J20" s="10" t="s">
        <v>45</v>
      </c>
      <c r="K20" s="27" t="s">
        <v>45</v>
      </c>
      <c r="L20" s="27">
        <v>11.81</v>
      </c>
      <c r="M20" s="27">
        <f t="shared" si="1"/>
        <v>11.81</v>
      </c>
    </row>
    <row r="21" spans="1:13" ht="12.75" hidden="1">
      <c r="A21" s="44">
        <f t="shared" si="0"/>
        <v>15</v>
      </c>
      <c r="B21" s="12" t="s">
        <v>26</v>
      </c>
      <c r="C21" s="10" t="s">
        <v>45</v>
      </c>
      <c r="D21" s="10" t="s">
        <v>45</v>
      </c>
      <c r="E21" s="10" t="s">
        <v>45</v>
      </c>
      <c r="F21" s="10" t="s">
        <v>45</v>
      </c>
      <c r="G21" s="10" t="s">
        <v>45</v>
      </c>
      <c r="H21" s="10" t="s">
        <v>45</v>
      </c>
      <c r="I21" s="10"/>
      <c r="J21" s="10"/>
      <c r="K21" s="12" t="s">
        <v>45</v>
      </c>
      <c r="L21" s="27">
        <v>0</v>
      </c>
      <c r="M21" s="27">
        <f t="shared" si="1"/>
        <v>0</v>
      </c>
    </row>
    <row r="22" spans="1:13" ht="12.75" hidden="1">
      <c r="A22" s="44">
        <f t="shared" si="0"/>
        <v>16</v>
      </c>
      <c r="B22" s="12" t="s">
        <v>27</v>
      </c>
      <c r="C22" s="10" t="s">
        <v>45</v>
      </c>
      <c r="D22" s="10" t="s">
        <v>45</v>
      </c>
      <c r="E22" s="10" t="s">
        <v>45</v>
      </c>
      <c r="F22" s="10" t="s">
        <v>45</v>
      </c>
      <c r="G22" s="10" t="s">
        <v>45</v>
      </c>
      <c r="H22" s="10" t="s">
        <v>45</v>
      </c>
      <c r="I22" s="10"/>
      <c r="J22" s="10" t="s">
        <v>45</v>
      </c>
      <c r="K22" s="12" t="s">
        <v>45</v>
      </c>
      <c r="L22" s="27">
        <v>0</v>
      </c>
      <c r="M22" s="27">
        <f t="shared" si="1"/>
        <v>0</v>
      </c>
    </row>
    <row r="23" spans="1:13" ht="12.75" hidden="1">
      <c r="A23" s="44">
        <f t="shared" si="0"/>
        <v>17</v>
      </c>
      <c r="B23" s="12" t="s">
        <v>28</v>
      </c>
      <c r="C23" s="10" t="s">
        <v>45</v>
      </c>
      <c r="D23" s="10" t="s">
        <v>45</v>
      </c>
      <c r="E23" s="10" t="s">
        <v>45</v>
      </c>
      <c r="F23" s="10" t="s">
        <v>45</v>
      </c>
      <c r="G23" s="10" t="s">
        <v>45</v>
      </c>
      <c r="H23" s="10" t="s">
        <v>45</v>
      </c>
      <c r="I23" s="10"/>
      <c r="J23" s="10" t="s">
        <v>45</v>
      </c>
      <c r="K23" s="12" t="s">
        <v>45</v>
      </c>
      <c r="L23" s="27">
        <v>0</v>
      </c>
      <c r="M23" s="27">
        <f t="shared" si="1"/>
        <v>0</v>
      </c>
    </row>
    <row r="24" spans="1:13" ht="12.75" hidden="1">
      <c r="A24" s="44">
        <f t="shared" si="0"/>
        <v>18</v>
      </c>
      <c r="B24" s="12" t="s">
        <v>62</v>
      </c>
      <c r="C24" s="10" t="s">
        <v>45</v>
      </c>
      <c r="D24" s="10" t="s">
        <v>45</v>
      </c>
      <c r="E24" s="10" t="s">
        <v>45</v>
      </c>
      <c r="F24" s="10" t="s">
        <v>45</v>
      </c>
      <c r="G24" s="10" t="s">
        <v>45</v>
      </c>
      <c r="H24" s="3" t="s">
        <v>45</v>
      </c>
      <c r="I24" s="10"/>
      <c r="J24" s="10" t="s">
        <v>45</v>
      </c>
      <c r="K24" s="27" t="s">
        <v>45</v>
      </c>
      <c r="L24" s="27">
        <v>0</v>
      </c>
      <c r="M24" s="27">
        <f t="shared" si="1"/>
        <v>0</v>
      </c>
    </row>
    <row r="25" spans="1:13" ht="12.75" hidden="1">
      <c r="A25" s="44">
        <f t="shared" si="0"/>
        <v>19</v>
      </c>
      <c r="B25" s="12"/>
      <c r="C25" s="10"/>
      <c r="D25" s="10"/>
      <c r="E25" s="10"/>
      <c r="F25" s="10"/>
      <c r="G25" s="10"/>
      <c r="H25" s="3"/>
      <c r="I25" s="10"/>
      <c r="J25" s="10"/>
      <c r="K25" s="27"/>
      <c r="L25" s="27"/>
      <c r="M25" s="27"/>
    </row>
    <row r="26" spans="1:13" ht="12.75" hidden="1">
      <c r="A26" s="44">
        <f t="shared" si="0"/>
        <v>20</v>
      </c>
      <c r="B26" s="12"/>
      <c r="C26" s="10"/>
      <c r="D26" s="10"/>
      <c r="E26" s="10"/>
      <c r="F26" s="10"/>
      <c r="G26" s="10"/>
      <c r="H26" s="3"/>
      <c r="I26" s="10"/>
      <c r="J26" s="10"/>
      <c r="K26" s="27"/>
      <c r="L26" s="27"/>
      <c r="M26" s="27"/>
    </row>
    <row r="27" spans="1:13" ht="12.75" hidden="1">
      <c r="A27" s="44">
        <f t="shared" si="0"/>
        <v>21</v>
      </c>
      <c r="B27" s="12"/>
      <c r="C27" s="10"/>
      <c r="D27" s="10"/>
      <c r="E27" s="10"/>
      <c r="F27" s="10"/>
      <c r="G27" s="10"/>
      <c r="H27" s="3"/>
      <c r="I27" s="10"/>
      <c r="J27" s="10"/>
      <c r="K27" s="27"/>
      <c r="L27" s="27"/>
      <c r="M27" s="27"/>
    </row>
    <row r="28" spans="1:13" ht="12.75" hidden="1">
      <c r="A28" s="44">
        <f t="shared" si="0"/>
        <v>22</v>
      </c>
      <c r="B28" s="12" t="s">
        <v>63</v>
      </c>
      <c r="C28" s="10" t="s">
        <v>45</v>
      </c>
      <c r="D28" s="10" t="s">
        <v>45</v>
      </c>
      <c r="E28" s="10" t="s">
        <v>45</v>
      </c>
      <c r="F28" s="10" t="s">
        <v>45</v>
      </c>
      <c r="G28" s="10"/>
      <c r="H28" s="3"/>
      <c r="I28" s="10" t="s">
        <v>45</v>
      </c>
      <c r="J28" s="10" t="s">
        <v>45</v>
      </c>
      <c r="K28" s="27" t="s">
        <v>45</v>
      </c>
      <c r="L28" s="27">
        <v>0</v>
      </c>
      <c r="M28" s="27">
        <f>L28-IF(ISNUMBER(Results!AP17),Results!AP17,0)</f>
        <v>0</v>
      </c>
    </row>
    <row r="29" spans="1:13" ht="12.75">
      <c r="A29" s="45"/>
      <c r="B29" s="95"/>
      <c r="C29" s="14"/>
      <c r="D29" s="14"/>
      <c r="E29" s="14"/>
      <c r="F29" s="14"/>
      <c r="G29" s="14"/>
      <c r="H29" s="14"/>
      <c r="I29" s="14"/>
      <c r="J29" s="14"/>
      <c r="K29" s="15"/>
      <c r="L29" s="39"/>
      <c r="M29" s="39"/>
    </row>
    <row r="30" spans="1:13" ht="12.75">
      <c r="A30" s="46"/>
      <c r="B30" s="11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6"/>
    </row>
    <row r="31" spans="1:13" ht="12.75">
      <c r="A31" s="55" t="s">
        <v>64</v>
      </c>
      <c r="H31" s="3"/>
      <c r="K31" s="11"/>
      <c r="L31" s="13"/>
      <c r="M31" s="6"/>
    </row>
    <row r="32" spans="1:13" ht="12.75">
      <c r="A32" s="26" t="s">
        <v>46</v>
      </c>
      <c r="B32" s="10"/>
      <c r="C32" s="10"/>
      <c r="D32" s="10"/>
      <c r="E32" s="11"/>
      <c r="F32" s="10"/>
      <c r="G32" s="10"/>
      <c r="H32" s="10"/>
      <c r="I32" s="11"/>
      <c r="J32" s="10"/>
      <c r="K32" s="11"/>
      <c r="L32" s="11"/>
      <c r="M32" s="6"/>
    </row>
    <row r="33" spans="1:13" ht="12.75">
      <c r="A33" s="25"/>
      <c r="B33" s="10"/>
      <c r="C33" s="10"/>
      <c r="D33" s="10"/>
      <c r="E33" s="11"/>
      <c r="F33" s="10"/>
      <c r="G33" s="10"/>
      <c r="H33" s="10"/>
      <c r="I33" s="11"/>
      <c r="J33" s="10"/>
      <c r="K33" s="11"/>
      <c r="L33" s="11"/>
      <c r="M33" s="6"/>
    </row>
    <row r="34" spans="1:12" ht="12.75">
      <c r="A34" s="26" t="s">
        <v>47</v>
      </c>
      <c r="B34" s="10"/>
      <c r="C34" s="10" t="s">
        <v>48</v>
      </c>
      <c r="D34" s="10"/>
      <c r="E34" s="11"/>
      <c r="F34" s="10"/>
      <c r="G34" s="10"/>
      <c r="H34" s="10" t="s">
        <v>49</v>
      </c>
      <c r="I34" s="11"/>
      <c r="J34" s="10"/>
      <c r="K34" s="11"/>
      <c r="L34" s="11"/>
    </row>
    <row r="35" spans="1:12" ht="12.75">
      <c r="A35" s="26"/>
      <c r="B35" s="10"/>
      <c r="C35" s="10"/>
      <c r="D35" s="10"/>
      <c r="E35" s="11"/>
      <c r="F35" s="10"/>
      <c r="G35" s="10"/>
      <c r="H35" s="10"/>
      <c r="I35" s="11"/>
      <c r="J35" s="10"/>
      <c r="K35" s="11"/>
      <c r="L35" s="11"/>
    </row>
    <row r="36" spans="1:12" ht="12.75">
      <c r="A36" s="26" t="s">
        <v>50</v>
      </c>
      <c r="B36" s="10"/>
      <c r="C36" s="10"/>
      <c r="D36" s="10" t="s">
        <v>51</v>
      </c>
      <c r="E36" s="11"/>
      <c r="F36" s="10"/>
      <c r="H36" s="10"/>
      <c r="I36" s="11"/>
      <c r="J36" s="10"/>
      <c r="K36" s="11"/>
      <c r="L36" s="13"/>
    </row>
    <row r="37" spans="1:11" ht="12.75">
      <c r="A37" s="26"/>
      <c r="B37" s="10"/>
      <c r="C37" s="10"/>
      <c r="D37" s="10" t="s">
        <v>52</v>
      </c>
      <c r="E37" s="11"/>
      <c r="F37" s="10"/>
      <c r="G37" s="10"/>
      <c r="H37" s="10"/>
      <c r="I37" s="11"/>
      <c r="J37" s="10"/>
      <c r="K37" s="11"/>
    </row>
    <row r="38" spans="1:11" ht="12.75">
      <c r="A38" s="26"/>
      <c r="B38" s="10"/>
      <c r="C38" s="10"/>
      <c r="D38" s="10" t="s">
        <v>53</v>
      </c>
      <c r="E38" s="11"/>
      <c r="F38" s="10"/>
      <c r="G38" s="10"/>
      <c r="H38" s="10"/>
      <c r="I38" s="11"/>
      <c r="J38" s="10"/>
      <c r="K38" s="11"/>
    </row>
    <row r="39" spans="1:11" ht="12.75">
      <c r="A39" s="26"/>
      <c r="B39" s="10"/>
      <c r="C39" s="10"/>
      <c r="D39" s="10"/>
      <c r="E39" s="11"/>
      <c r="F39" s="10"/>
      <c r="G39" s="10"/>
      <c r="H39" s="10"/>
      <c r="I39" s="11"/>
      <c r="J39" s="10"/>
      <c r="K39" s="11"/>
    </row>
    <row r="40" spans="1:11" ht="12.75">
      <c r="A40" s="26" t="s">
        <v>76</v>
      </c>
      <c r="B40" s="10"/>
      <c r="C40" s="10"/>
      <c r="D40" s="10"/>
      <c r="E40" s="11"/>
      <c r="F40" s="10"/>
      <c r="G40" s="10"/>
      <c r="H40" s="10"/>
      <c r="I40" s="11"/>
      <c r="J40" s="10"/>
      <c r="K40" s="11"/>
    </row>
    <row r="41" spans="1:11" ht="12.75">
      <c r="A41" s="26" t="s">
        <v>77</v>
      </c>
      <c r="B41" s="10"/>
      <c r="C41" s="10"/>
      <c r="D41" s="10"/>
      <c r="E41" s="11"/>
      <c r="F41" s="10"/>
      <c r="G41" s="10"/>
      <c r="H41" s="10"/>
      <c r="I41" s="11"/>
      <c r="J41" s="10"/>
      <c r="K41" s="11"/>
    </row>
    <row r="42" spans="1:11" ht="12.75">
      <c r="A42" s="26"/>
      <c r="B42" s="10"/>
      <c r="C42" s="10"/>
      <c r="D42" s="10"/>
      <c r="E42" s="11"/>
      <c r="F42" s="10"/>
      <c r="G42" s="10"/>
      <c r="H42" s="10"/>
      <c r="I42" s="11"/>
      <c r="J42" s="10"/>
      <c r="K42" s="11"/>
    </row>
    <row r="43" spans="1:10" ht="12.75">
      <c r="A43" s="25"/>
      <c r="B43" s="10"/>
      <c r="C43" s="10"/>
      <c r="D43" s="10"/>
      <c r="E43" s="11"/>
      <c r="F43" s="10"/>
      <c r="G43" s="10"/>
      <c r="H43" s="10"/>
      <c r="I43" s="11"/>
      <c r="J43" s="10"/>
    </row>
    <row r="44" spans="1:10" ht="12.75">
      <c r="A44" s="26" t="s">
        <v>54</v>
      </c>
      <c r="B44" s="10"/>
      <c r="C44" s="10"/>
      <c r="D44" s="10"/>
      <c r="E44" s="11"/>
      <c r="F44" s="10"/>
      <c r="G44" s="10"/>
      <c r="H44" s="10"/>
      <c r="I44" s="11"/>
      <c r="J44" s="10"/>
    </row>
    <row r="45" spans="1:8" ht="12.75">
      <c r="A45" s="11" t="s">
        <v>55</v>
      </c>
      <c r="H45" s="3"/>
    </row>
  </sheetData>
  <sheetProtection/>
  <printOptions/>
  <pageMargins left="0.75" right="0.75" top="0.57" bottom="0.48" header="0.5" footer="0.5"/>
  <pageSetup fitToHeight="1" fitToWidth="1" horizontalDpi="360" verticalDpi="36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Atkinson</dc:creator>
  <cp:keywords/>
  <dc:description/>
  <cp:lastModifiedBy>CWK</cp:lastModifiedBy>
  <cp:lastPrinted>2015-05-19T04:16:43Z</cp:lastPrinted>
  <dcterms:created xsi:type="dcterms:W3CDTF">1999-04-22T13:16:27Z</dcterms:created>
  <dcterms:modified xsi:type="dcterms:W3CDTF">2015-05-19T04:16:46Z</dcterms:modified>
  <cp:category/>
  <cp:version/>
  <cp:contentType/>
  <cp:contentStatus/>
</cp:coreProperties>
</file>